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D8E7CA45-CDDB-4A7D-9546-107ED14C0016}" xr6:coauthVersionLast="47" xr6:coauthVersionMax="47" xr10:uidLastSave="{00000000-0000-0000-0000-000000000000}"/>
  <bookViews>
    <workbookView xWindow="-110" yWindow="-110" windowWidth="19420" windowHeight="10300" tabRatio="926" activeTab="1" xr2:uid="{00000000-000D-0000-FFFF-FFFF00000000}"/>
  </bookViews>
  <sheets>
    <sheet name="Index" sheetId="57" r:id="rId1"/>
    <sheet name="F1" sheetId="58" r:id="rId2"/>
    <sheet name="F1.1" sheetId="80" r:id="rId3"/>
    <sheet name="F2.1" sheetId="81" r:id="rId4"/>
    <sheet name="F2.2" sheetId="59" r:id="rId5"/>
    <sheet name="F2.3" sheetId="60" r:id="rId6"/>
    <sheet name="F2.4" sheetId="61" r:id="rId7"/>
    <sheet name="F2.5" sheetId="62" r:id="rId8"/>
    <sheet name="F2.6" sheetId="79" r:id="rId9"/>
    <sheet name="F2.7" sheetId="63" r:id="rId10"/>
    <sheet name="F3" sheetId="65" r:id="rId11"/>
    <sheet name="F3.1" sheetId="66" r:id="rId12"/>
    <sheet name="F3.2" sheetId="67" r:id="rId13"/>
    <sheet name="F3.3" sheetId="68" r:id="rId14"/>
    <sheet name="F3.4" sheetId="69" r:id="rId15"/>
    <sheet name="F4" sheetId="93" r:id="rId16"/>
    <sheet name="F4.1 SHPC Pune" sheetId="117" r:id="rId17"/>
    <sheet name="F4.2 SHPC Pune" sheetId="118" r:id="rId18"/>
    <sheet name="F4.3 SHPC Pune" sheetId="119" r:id="rId19"/>
    <sheet name="F4.1 SHPC Nashik" sheetId="120" r:id="rId20"/>
    <sheet name="F4.2 SHPC Nashik" sheetId="121" r:id="rId21"/>
    <sheet name="F4.3 SHPC Nashik " sheetId="122" r:id="rId22"/>
    <sheet name="F5 (T)" sheetId="116" r:id="rId23"/>
    <sheet name="F5" sheetId="70" r:id="rId24"/>
    <sheet name="F5.1 (N)" sheetId="103" r:id="rId25"/>
    <sheet name="F6" sheetId="54" r:id="rId26"/>
    <sheet name="F7" sheetId="55" r:id="rId27"/>
    <sheet name="F8" sheetId="71" r:id="rId28"/>
    <sheet name="F9" sheetId="72" r:id="rId29"/>
    <sheet name="F9.1" sheetId="91" r:id="rId30"/>
    <sheet name="F9.2" sheetId="73" r:id="rId31"/>
    <sheet name="F9.3" sheetId="74" r:id="rId32"/>
    <sheet name="F10" sheetId="77" r:id="rId33"/>
    <sheet name="F11" sheetId="75" r:id="rId34"/>
    <sheet name="F12" sheetId="76" r:id="rId35"/>
    <sheet name="F13" sheetId="78" r:id="rId36"/>
    <sheet name="F14.1" sheetId="107" r:id="rId37"/>
    <sheet name="F14.2" sheetId="108" r:id="rId38"/>
    <sheet name="F14.3" sheetId="109" r:id="rId39"/>
    <sheet name="F14.4" sheetId="110" r:id="rId40"/>
    <sheet name="F14.5" sheetId="111" r:id="rId41"/>
    <sheet name="F14.6" sheetId="112" r:id="rId42"/>
    <sheet name="F14.7" sheetId="113" r:id="rId43"/>
    <sheet name="F14.8" sheetId="114" r:id="rId44"/>
    <sheet name="F14.9" sheetId="115" r:id="rId45"/>
    <sheet name="F15" sheetId="104" r:id="rId46"/>
    <sheet name="F16" sheetId="98" r:id="rId47"/>
    <sheet name="F17" sheetId="99" r:id="rId48"/>
    <sheet name="F18" sheetId="105" r:id="rId49"/>
    <sheet name="F19" sheetId="106"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 localSheetId="22">#REF!</definedName>
    <definedName name="\a">#REF!</definedName>
    <definedName name="\b" localSheetId="22">#REF!</definedName>
    <definedName name="\b">#REF!</definedName>
    <definedName name="\c" localSheetId="22">#REF!</definedName>
    <definedName name="\c">#REF!</definedName>
    <definedName name="\d" localSheetId="22">#REF!</definedName>
    <definedName name="\d">#REF!</definedName>
    <definedName name="\e" localSheetId="22">#REF!</definedName>
    <definedName name="\e">#REF!</definedName>
    <definedName name="\f" localSheetId="22">#REF!</definedName>
    <definedName name="\f">#REF!</definedName>
    <definedName name="\g" localSheetId="22">#REF!</definedName>
    <definedName name="\g">#REF!</definedName>
    <definedName name="\j" localSheetId="22">#REF!</definedName>
    <definedName name="\j">#REF!</definedName>
    <definedName name="\k" localSheetId="22">#REF!</definedName>
    <definedName name="\k">#REF!</definedName>
    <definedName name="\m" localSheetId="22">#REF!</definedName>
    <definedName name="\m">#REF!</definedName>
    <definedName name="\n" localSheetId="22">#REF!</definedName>
    <definedName name="\n">#REF!</definedName>
    <definedName name="\o" localSheetId="22">#REF!</definedName>
    <definedName name="\o">#REF!</definedName>
    <definedName name="\p" localSheetId="22">#REF!</definedName>
    <definedName name="\p">#REF!</definedName>
    <definedName name="\s" localSheetId="22">#REF!</definedName>
    <definedName name="\s">#REF!</definedName>
    <definedName name="\t" localSheetId="22">#REF!</definedName>
    <definedName name="\t">#REF!</definedName>
    <definedName name="\w" localSheetId="22">#REF!</definedName>
    <definedName name="\w">#REF!</definedName>
    <definedName name="\x" localSheetId="22">#REF!</definedName>
    <definedName name="\x">#REF!</definedName>
    <definedName name="\z" localSheetId="22">#REF!</definedName>
    <definedName name="\z">#REF!</definedName>
    <definedName name="_" localSheetId="22">#REF!</definedName>
    <definedName name="_">#REF!</definedName>
    <definedName name="_.._D__D__D__D_" localSheetId="22">#REF!</definedName>
    <definedName name="_.._D__D__D__D_">#REF!</definedName>
    <definedName name="_________XL__ENTER_UNIT" localSheetId="22">#REF!</definedName>
    <definedName name="_________XL__ENTER_UNIT">#REF!</definedName>
    <definedName name="_______SCH6" localSheetId="22">'[1]04REL'!#REF!</definedName>
    <definedName name="_______SCH6">'[1]04REL'!#REF!</definedName>
    <definedName name="_______XL__ENTER_UNIT" localSheetId="22">#REF!</definedName>
    <definedName name="_______XL__ENTER_UNIT">#REF!</definedName>
    <definedName name="______SCH6" localSheetId="22">'[1]04REL'!#REF!</definedName>
    <definedName name="______SCH6">'[1]04REL'!#REF!</definedName>
    <definedName name="______XL__ENTER_UNIT" localSheetId="22">#REF!</definedName>
    <definedName name="______XL__ENTER_UNIT">#REF!</definedName>
    <definedName name="_____SCH6" localSheetId="22">'[1]04REL'!#REF!</definedName>
    <definedName name="_____SCH6">'[1]04REL'!#REF!</definedName>
    <definedName name="____SCH6" localSheetId="22">'[1]04REL'!#REF!</definedName>
    <definedName name="____SCH6">'[1]04REL'!#REF!</definedName>
    <definedName name="____XL__ENTER_UNIT" localSheetId="22">#REF!</definedName>
    <definedName name="____XL__ENTER_UNIT">#REF!</definedName>
    <definedName name="___INDEX_SHEET___ASAP_Utilities" localSheetId="22">#REF!</definedName>
    <definedName name="___INDEX_SHEET___ASAP_Utilities">#REF!</definedName>
    <definedName name="___SCH6" localSheetId="22">'[1]04REL'!#REF!</definedName>
    <definedName name="___SCH6">'[1]04REL'!#REF!</definedName>
    <definedName name="___XL__ENTER_UNIT" localSheetId="22">#REF!</definedName>
    <definedName name="___XL__ENTER_UNIT">#REF!</definedName>
    <definedName name="__123Graph_A" localSheetId="45" hidden="1">[2]CE!#REF!</definedName>
    <definedName name="__123Graph_A" localSheetId="47" hidden="1">[2]CE!#REF!</definedName>
    <definedName name="__123Graph_A" localSheetId="15" hidden="1">[2]CE!#REF!</definedName>
    <definedName name="__123Graph_A" localSheetId="22" hidden="1">[2]CE!#REF!</definedName>
    <definedName name="__123Graph_A" localSheetId="24" hidden="1">[2]CE!#REF!</definedName>
    <definedName name="__123Graph_A" hidden="1">[2]CE!#REF!</definedName>
    <definedName name="__123Graph_ASTNPLF" localSheetId="45" hidden="1">[2]CE!#REF!</definedName>
    <definedName name="__123Graph_ASTNPLF" localSheetId="47" hidden="1">[2]CE!#REF!</definedName>
    <definedName name="__123Graph_ASTNPLF" localSheetId="15" hidden="1">[2]CE!#REF!</definedName>
    <definedName name="__123Graph_ASTNPLF" localSheetId="22" hidden="1">[2]CE!#REF!</definedName>
    <definedName name="__123Graph_ASTNPLF" localSheetId="24" hidden="1">[2]CE!#REF!</definedName>
    <definedName name="__123Graph_ASTNPLF" hidden="1">[2]CE!#REF!</definedName>
    <definedName name="__123Graph_B" localSheetId="45" hidden="1">[2]CE!#REF!</definedName>
    <definedName name="__123Graph_B" localSheetId="47" hidden="1">[2]CE!#REF!</definedName>
    <definedName name="__123Graph_B" localSheetId="15" hidden="1">[2]CE!#REF!</definedName>
    <definedName name="__123Graph_B" localSheetId="22" hidden="1">[2]CE!#REF!</definedName>
    <definedName name="__123Graph_B" localSheetId="24" hidden="1">[2]CE!#REF!</definedName>
    <definedName name="__123Graph_B" hidden="1">[2]CE!#REF!</definedName>
    <definedName name="__123Graph_BSTNPLF" localSheetId="45" hidden="1">[2]CE!#REF!</definedName>
    <definedName name="__123Graph_BSTNPLF" localSheetId="47" hidden="1">[2]CE!#REF!</definedName>
    <definedName name="__123Graph_BSTNPLF" localSheetId="15" hidden="1">[2]CE!#REF!</definedName>
    <definedName name="__123Graph_BSTNPLF" localSheetId="22" hidden="1">[2]CE!#REF!</definedName>
    <definedName name="__123Graph_BSTNPLF" localSheetId="24" hidden="1">[2]CE!#REF!</definedName>
    <definedName name="__123Graph_BSTNPLF" hidden="1">[2]CE!#REF!</definedName>
    <definedName name="__123Graph_C" localSheetId="45" hidden="1">[2]CE!#REF!</definedName>
    <definedName name="__123Graph_C" localSheetId="47" hidden="1">[2]CE!#REF!</definedName>
    <definedName name="__123Graph_C" localSheetId="15" hidden="1">[2]CE!#REF!</definedName>
    <definedName name="__123Graph_C" localSheetId="22" hidden="1">[2]CE!#REF!</definedName>
    <definedName name="__123Graph_C" localSheetId="24" hidden="1">[2]CE!#REF!</definedName>
    <definedName name="__123Graph_C" hidden="1">[2]CE!#REF!</definedName>
    <definedName name="__123Graph_CSTNPLF" localSheetId="45" hidden="1">[2]CE!#REF!</definedName>
    <definedName name="__123Graph_CSTNPLF" localSheetId="47" hidden="1">[2]CE!#REF!</definedName>
    <definedName name="__123Graph_CSTNPLF" localSheetId="15" hidden="1">[2]CE!#REF!</definedName>
    <definedName name="__123Graph_CSTNPLF" localSheetId="22" hidden="1">[2]CE!#REF!</definedName>
    <definedName name="__123Graph_CSTNPLF" localSheetId="24" hidden="1">[2]CE!#REF!</definedName>
    <definedName name="__123Graph_CSTNPLF" hidden="1">[2]CE!#REF!</definedName>
    <definedName name="__123Graph_X" localSheetId="45" hidden="1">[2]CE!#REF!</definedName>
    <definedName name="__123Graph_X" localSheetId="47" hidden="1">[2]CE!#REF!</definedName>
    <definedName name="__123Graph_X" localSheetId="15" hidden="1">[2]CE!#REF!</definedName>
    <definedName name="__123Graph_X" localSheetId="22" hidden="1">[2]CE!#REF!</definedName>
    <definedName name="__123Graph_X" localSheetId="24" hidden="1">[2]CE!#REF!</definedName>
    <definedName name="__123Graph_X" hidden="1">[2]CE!#REF!</definedName>
    <definedName name="__123Graph_XSTNPLF" localSheetId="45" hidden="1">[2]CE!#REF!</definedName>
    <definedName name="__123Graph_XSTNPLF" localSheetId="47" hidden="1">[2]CE!#REF!</definedName>
    <definedName name="__123Graph_XSTNPLF" localSheetId="15" hidden="1">[2]CE!#REF!</definedName>
    <definedName name="__123Graph_XSTNPLF" localSheetId="22" hidden="1">[2]CE!#REF!</definedName>
    <definedName name="__123Graph_XSTNPLF" localSheetId="24" hidden="1">[2]CE!#REF!</definedName>
    <definedName name="__123Graph_XSTNPLF" hidden="1">[2]CE!#REF!</definedName>
    <definedName name="__DOWN_10__GOTO" localSheetId="22">#REF!</definedName>
    <definedName name="__DOWN_10__GOTO">#REF!</definedName>
    <definedName name="__ES84__EW84_0." localSheetId="22">#REF!</definedName>
    <definedName name="__ES84__EW84_0.">#REF!</definedName>
    <definedName name="__GOTO_EP84__AV" localSheetId="22">#REF!</definedName>
    <definedName name="__GOTO_EP84__AV">#REF!</definedName>
    <definedName name="__SCH6" localSheetId="22">'[1]04REL'!#REF!</definedName>
    <definedName name="__SCH6">'[1]04REL'!#REF!</definedName>
    <definedName name="__SUM_CS57..CS6" localSheetId="22">#REF!</definedName>
    <definedName name="__SUM_CS57..CS6">#REF!</definedName>
    <definedName name="__SUM_CS65..CS7" localSheetId="22">#REF!</definedName>
    <definedName name="__SUM_CS65..CS7">#REF!</definedName>
    <definedName name="__SUM_FQ20..FQ2" localSheetId="22">#REF!</definedName>
    <definedName name="__SUM_FQ20..FQ2">#REF!</definedName>
    <definedName name="__SUM_FQ28..FQ3" localSheetId="22">#REF!</definedName>
    <definedName name="__SUM_FQ28..FQ3">#REF!</definedName>
    <definedName name="__XL__ENTER_UNIT" localSheetId="22">#REF!</definedName>
    <definedName name="__XL__ENTER_UNIT">#REF!</definedName>
    <definedName name="_4.1Tillarii" hidden="1">[2]CE!#REF!</definedName>
    <definedName name="_5" localSheetId="22">#REF!</definedName>
    <definedName name="_5">#REF!</definedName>
    <definedName name="_6" localSheetId="22">#REF!</definedName>
    <definedName name="_6">#REF!</definedName>
    <definedName name="_D___GOTO_GK112" localSheetId="22">#REF!</definedName>
    <definedName name="_D___GOTO_GK112">#REF!</definedName>
    <definedName name="_D___GOTO_GK56_" localSheetId="22">#REF!</definedName>
    <definedName name="_D___GOTO_GK56_">#REF!</definedName>
    <definedName name="_D__D___L___GOT" localSheetId="22">#REF!</definedName>
    <definedName name="_D__D___L___GOT">#REF!</definedName>
    <definedName name="_D__D__D___D__D" localSheetId="22">#REF!</definedName>
    <definedName name="_D__D__D___D__D">#REF!</definedName>
    <definedName name="_D_19__U_19_" localSheetId="22">#REF!</definedName>
    <definedName name="_D_19__U_19_">#REF!</definedName>
    <definedName name="_DOWN_9__RIGHT_" localSheetId="22">#REF!</definedName>
    <definedName name="_DOWN_9__RIGHT_">#REF!</definedName>
    <definedName name="_Fill" localSheetId="45" hidden="1">'F15'!#REF!</definedName>
    <definedName name="_Fill" localSheetId="47" hidden="1">#REF!</definedName>
    <definedName name="_Fill" localSheetId="15" hidden="1">#REF!</definedName>
    <definedName name="_Fill" localSheetId="22" hidden="1">#REF!</definedName>
    <definedName name="_Fill" localSheetId="24" hidden="1">#REF!</definedName>
    <definedName name="_Fill" hidden="1">#REF!</definedName>
    <definedName name="_xlnm._FilterDatabase" localSheetId="17" hidden="1">'F4.2 SHPC Pune'!$A$7:$AY$33</definedName>
    <definedName name="_FROM__R__R__08" localSheetId="22">#REF!</definedName>
    <definedName name="_FROM__R__R__08">#REF!</definedName>
    <definedName name="_FROM__R__R__16" localSheetId="22">#REF!</definedName>
    <definedName name="_FROM__R__R__16">#REF!</definedName>
    <definedName name="_GENERATION__R_" localSheetId="22">#REF!</definedName>
    <definedName name="_GENERATION__R_">#REF!</definedName>
    <definedName name="_GOTO_BT49__R__" localSheetId="22">#REF!</definedName>
    <definedName name="_GOTO_BT49__R__">#REF!</definedName>
    <definedName name="_GOTO_CF11__?__" localSheetId="22">#REF!</definedName>
    <definedName name="_GOTO_CF11__?__">#REF!</definedName>
    <definedName name="_GOTO_EO75__WEK" localSheetId="22">#REF!</definedName>
    <definedName name="_GOTO_EO75__WEK">#REF!</definedName>
    <definedName name="_GOTO_EP82__PEA" localSheetId="22">#REF!</definedName>
    <definedName name="_GOTO_EP82__PEA">#REF!</definedName>
    <definedName name="_GOTO_EP86__PER" localSheetId="22">#REF!</definedName>
    <definedName name="_GOTO_EP86__PER">#REF!</definedName>
    <definedName name="_GOTO_FO112__RV" localSheetId="22">#REF!</definedName>
    <definedName name="_GOTO_FO112__RV">#REF!</definedName>
    <definedName name="_GOTO_FO56__RV_" localSheetId="22">#REF!</definedName>
    <definedName name="_GOTO_FO56__RV_">#REF!</definedName>
    <definedName name="_HOME__GOTO_M14" localSheetId="22">#REF!</definedName>
    <definedName name="_HOME__GOTO_M14">#REF!</definedName>
    <definedName name="_Order1" hidden="1">255</definedName>
    <definedName name="_PLF__R__R___ES" localSheetId="22">#REF!</definedName>
    <definedName name="_PLF__R__R___ES">#REF!</definedName>
    <definedName name="_RV_DOWN_6__LEF" localSheetId="22">#REF!</definedName>
    <definedName name="_RV_DOWN_6__LEF">#REF!</definedName>
    <definedName name="_SCH6" localSheetId="22">'[1]04REL'!#REF!</definedName>
    <definedName name="_SCH6">'[1]04REL'!#REF!</definedName>
    <definedName name="_SUM_DI14..DI21" localSheetId="22">#REF!</definedName>
    <definedName name="_SUM_DI14..DI21">#REF!</definedName>
    <definedName name="_SUM_DI22..DI29" localSheetId="22">#REF!</definedName>
    <definedName name="_SUM_DI22..DI29">#REF!</definedName>
    <definedName name="_Toc503175153" localSheetId="17">'F4.2 SHPC Pune'!#REF!</definedName>
    <definedName name="_U__END__U__D__" localSheetId="22">#REF!</definedName>
    <definedName name="_U__END__U__D__">#REF!</definedName>
    <definedName name="_U__U__END__U__" localSheetId="22">#REF!</definedName>
    <definedName name="_U__U__END__U__">#REF!</definedName>
    <definedName name="_U__U__U__U__U_" localSheetId="22">#REF!</definedName>
    <definedName name="_U__U__U__U__U_">#REF!</definedName>
    <definedName name="_WGPD_GOTO_CO10" localSheetId="22">#REF!</definedName>
    <definedName name="_WGPD_GOTO_CO10">#REF!</definedName>
    <definedName name="A" localSheetId="22">#REF!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22">#REF!</definedName>
    <definedName name="AV">#REF!</definedName>
    <definedName name="C_Data_1" localSheetId="22">'[5]2000-01'!#REF!</definedName>
    <definedName name="C_Data_1">'[5]2000-01'!#REF!</definedName>
    <definedName name="C_Data_2" localSheetId="22">'[5]2000-01'!#REF!</definedName>
    <definedName name="C_Data_2">'[5]2000-01'!#REF!</definedName>
    <definedName name="CM10_C_RIGHT___" localSheetId="22">#REF!</definedName>
    <definedName name="CM10_C_RIGHT___">#REF!</definedName>
    <definedName name="CV" localSheetId="22">#REF!</definedName>
    <definedName name="CV">#REF!</definedName>
    <definedName name="D">#N/A</definedName>
    <definedName name="Debt_Pct">[6]Assumptions!$B$13</definedName>
    <definedName name="dpc">'[7]dpc cost'!$D$1</definedName>
    <definedName name="E_315MVA_Addl_Page1" localSheetId="22">#REF!</definedName>
    <definedName name="E_315MVA_Addl_Page1">#REF!</definedName>
    <definedName name="E_315MVA_Addl_Page2" localSheetId="22">#REF!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22">#REF!</definedName>
    <definedName name="EscAGExp">#REF!</definedName>
    <definedName name="EscCoal" localSheetId="22">#REF!</definedName>
    <definedName name="EscCoal">#REF!</definedName>
    <definedName name="EscDomGas" localSheetId="22">#REF!</definedName>
    <definedName name="EscDomGas">#REF!</definedName>
    <definedName name="EscEmpExp" localSheetId="22">#REF!</definedName>
    <definedName name="EscEmpExp">#REF!</definedName>
    <definedName name="EscLNGas" localSheetId="22">#REF!</definedName>
    <definedName name="EscLNGas">#REF!</definedName>
    <definedName name="EscOil" localSheetId="22">#REF!</definedName>
    <definedName name="EscOil">#REF!</definedName>
    <definedName name="EscOtherIncome" localSheetId="22">#REF!</definedName>
    <definedName name="EscOtherIncome">#REF!</definedName>
    <definedName name="EscOtherVarCharge" localSheetId="22">#REF!</definedName>
    <definedName name="EscOtherVarCharge">#REF!</definedName>
    <definedName name="EscRMExp" localSheetId="22">#REF!</definedName>
    <definedName name="EscRMExp">#REF!</definedName>
    <definedName name="FAX" localSheetId="22">#REF!</definedName>
    <definedName name="FAX">#REF!</definedName>
    <definedName name="FinCharge">[6]Assumptions!$B$25</definedName>
    <definedName name="Fuel_Exp_CY" localSheetId="22">#REF!</definedName>
    <definedName name="Fuel_Exp_CY">#REF!</definedName>
    <definedName name="Fuel_Exp_EY" localSheetId="22">#REF!</definedName>
    <definedName name="Fuel_Exp_EY">#REF!</definedName>
    <definedName name="Fuel_Exp_PY" localSheetId="22">#REF!</definedName>
    <definedName name="Fuel_Exp_PY">#REF!</definedName>
    <definedName name="GR" localSheetId="22">#REF!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22">#REF!</definedName>
    <definedName name="IntRate12">#REF!</definedName>
    <definedName name="IntRate13" localSheetId="22">#REF!</definedName>
    <definedName name="IntRate13">#REF!</definedName>
    <definedName name="IntRateWC11" localSheetId="22">#REF!</definedName>
    <definedName name="IntRateWC11">#REF!</definedName>
    <definedName name="IntRateWC12" localSheetId="22">#REF!</definedName>
    <definedName name="IntRateWC12">#REF!</definedName>
    <definedName name="IntRateWC13" localSheetId="22">#REF!</definedName>
    <definedName name="IntRateWC13">#REF!</definedName>
    <definedName name="Intt_Charge_cY" localSheetId="22">#REF!,#REF!</definedName>
    <definedName name="Intt_Charge_cY">#REF!,#REF!</definedName>
    <definedName name="Intt_Charge_cy_1">'[10]A 3.7'!$H$35,'[10]A 3.7'!$H$44</definedName>
    <definedName name="Intt_Charge_eY" localSheetId="22">#REF!,#REF!</definedName>
    <definedName name="Intt_Charge_eY">#REF!,#REF!</definedName>
    <definedName name="Intt_Charge_ey_1">'[10]A 3.7'!$I$35,'[10]A 3.7'!$I$44</definedName>
    <definedName name="Intt_Charge_PY" localSheetId="22">#REF!,#REF!</definedName>
    <definedName name="Intt_Charge_PY">#REF!,#REF!</definedName>
    <definedName name="Intt_Charge_py_1">'[10]A 3.7'!$G$35,'[10]A 3.7'!$G$44</definedName>
    <definedName name="IsCircular" localSheetId="22">#REF!</definedName>
    <definedName name="IsCircular">#REF!</definedName>
    <definedName name="K2000_">#N/A</definedName>
    <definedName name="LTR_M_NEW" localSheetId="22">#REF!</definedName>
    <definedName name="LTR_M_NEW">#REF!</definedName>
    <definedName name="LTR_MOR" localSheetId="22">#REF!</definedName>
    <definedName name="LTR_MOR">#REF!</definedName>
    <definedName name="new" localSheetId="45" hidden="1">[11]CE!#REF!</definedName>
    <definedName name="new" localSheetId="47" hidden="1">[11]CE!#REF!</definedName>
    <definedName name="new" localSheetId="15" hidden="1">[11]CE!#REF!</definedName>
    <definedName name="new" localSheetId="22" hidden="1">[11]CE!#REF!</definedName>
    <definedName name="new" localSheetId="24" hidden="1">[11]CE!#REF!</definedName>
    <definedName name="new" hidden="1">[11]CE!#REF!</definedName>
    <definedName name="O" localSheetId="22">#REF!</definedName>
    <definedName name="O">#REF!</definedName>
    <definedName name="p" localSheetId="22">#REF!</definedName>
    <definedName name="p">#REF!</definedName>
    <definedName name="PAGE1" localSheetId="22">#REF!</definedName>
    <definedName name="PAGE1">#REF!</definedName>
    <definedName name="page10" localSheetId="22">#REF!</definedName>
    <definedName name="page10">#REF!</definedName>
    <definedName name="PAGE10_6" localSheetId="22">#REF!</definedName>
    <definedName name="PAGE10_6">#REF!</definedName>
    <definedName name="PAGE11_6" localSheetId="22">#REF!</definedName>
    <definedName name="PAGE11_6">#REF!</definedName>
    <definedName name="PAGE12_6" localSheetId="22">#REF!</definedName>
    <definedName name="PAGE12_6">#REF!</definedName>
    <definedName name="PAGE14" localSheetId="22">#REF!</definedName>
    <definedName name="PAGE14">#REF!</definedName>
    <definedName name="PAGE15" localSheetId="22">#REF!</definedName>
    <definedName name="PAGE15">#REF!</definedName>
    <definedName name="PAGE16" localSheetId="22">#REF!</definedName>
    <definedName name="PAGE16">#REF!</definedName>
    <definedName name="PAGE17" localSheetId="22">#REF!</definedName>
    <definedName name="PAGE17">#REF!</definedName>
    <definedName name="PAGE18" localSheetId="22">#REF!</definedName>
    <definedName name="PAGE18">#REF!</definedName>
    <definedName name="PAGE19" localSheetId="22">#REF!</definedName>
    <definedName name="PAGE19">#REF!</definedName>
    <definedName name="PAGE2" localSheetId="22">#REF!</definedName>
    <definedName name="PAGE2">#REF!</definedName>
    <definedName name="PAGE2_6" localSheetId="22">#REF!</definedName>
    <definedName name="PAGE2_6">#REF!</definedName>
    <definedName name="PAGE20" localSheetId="22">#REF!</definedName>
    <definedName name="PAGE20">#REF!</definedName>
    <definedName name="PAGE21" localSheetId="22">#REF!</definedName>
    <definedName name="PAGE21">#REF!</definedName>
    <definedName name="PAGE210" localSheetId="22">#REF!</definedName>
    <definedName name="PAGE210">#REF!</definedName>
    <definedName name="PAGE22" localSheetId="22">#REF!</definedName>
    <definedName name="PAGE22">#REF!</definedName>
    <definedName name="PAGE23" localSheetId="22">#REF!</definedName>
    <definedName name="PAGE23">#REF!</definedName>
    <definedName name="PAGE24" localSheetId="22">#REF!</definedName>
    <definedName name="PAGE24">#REF!</definedName>
    <definedName name="PAGE25" localSheetId="22">#REF!</definedName>
    <definedName name="PAGE25">#REF!</definedName>
    <definedName name="PAGE26" localSheetId="22">#REF!</definedName>
    <definedName name="PAGE26">#REF!</definedName>
    <definedName name="PAGE27" localSheetId="22">#REF!</definedName>
    <definedName name="PAGE27">#REF!</definedName>
    <definedName name="PAGE28" localSheetId="22">#REF!</definedName>
    <definedName name="PAGE28">#REF!</definedName>
    <definedName name="PAGE29" localSheetId="22">#REF!</definedName>
    <definedName name="PAGE29">#REF!</definedName>
    <definedName name="PAGE3_6" localSheetId="22">#REF!</definedName>
    <definedName name="PAGE3_6">#REF!</definedName>
    <definedName name="page34" localSheetId="22">#REF!</definedName>
    <definedName name="page34">#REF!</definedName>
    <definedName name="Page35" localSheetId="22">#REF!</definedName>
    <definedName name="Page35">#REF!</definedName>
    <definedName name="PAGE4_6" localSheetId="22">#REF!</definedName>
    <definedName name="PAGE4_6">#REF!</definedName>
    <definedName name="PAGE5_6" localSheetId="22">#REF!</definedName>
    <definedName name="PAGE5_6">#REF!</definedName>
    <definedName name="page50" localSheetId="22">#REF!</definedName>
    <definedName name="page50">#REF!</definedName>
    <definedName name="page51" localSheetId="22">#REF!</definedName>
    <definedName name="page51">#REF!</definedName>
    <definedName name="page52" localSheetId="22">#REF!</definedName>
    <definedName name="page52">#REF!</definedName>
    <definedName name="PAGE6" localSheetId="22">#REF!</definedName>
    <definedName name="PAGE6">#REF!</definedName>
    <definedName name="PAGE6_6" localSheetId="22">#REF!</definedName>
    <definedName name="PAGE6_6">#REF!</definedName>
    <definedName name="PAGE7" localSheetId="22">#REF!</definedName>
    <definedName name="PAGE7">#REF!</definedName>
    <definedName name="PAGE7_6" localSheetId="22">#REF!</definedName>
    <definedName name="PAGE7_6">#REF!</definedName>
    <definedName name="PAGE8" localSheetId="22">#REF!</definedName>
    <definedName name="PAGE8">#REF!</definedName>
    <definedName name="PAGE8_6U1A" localSheetId="22">#REF!</definedName>
    <definedName name="PAGE8_6U1A">#REF!</definedName>
    <definedName name="PAGE8_6U1B" localSheetId="22">#REF!</definedName>
    <definedName name="PAGE8_6U1B">#REF!</definedName>
    <definedName name="PAGE8_6U2A" localSheetId="22">#REF!</definedName>
    <definedName name="PAGE8_6U2A">#REF!</definedName>
    <definedName name="PAGE8_6U2B" localSheetId="22">#REF!</definedName>
    <definedName name="PAGE8_6U2B">#REF!</definedName>
    <definedName name="PAGE8_6U3A" localSheetId="22">#REF!</definedName>
    <definedName name="PAGE8_6U3A">#REF!</definedName>
    <definedName name="PAGE8_6U3B" localSheetId="22">#REF!</definedName>
    <definedName name="PAGE8_6U3B">#REF!</definedName>
    <definedName name="PAGE9" localSheetId="22">#REF!</definedName>
    <definedName name="PAGE9">#REF!</definedName>
    <definedName name="PAGE9_6" localSheetId="22">#REF!</definedName>
    <definedName name="PAGE9_6">#REF!</definedName>
    <definedName name="Pop_Ratio" localSheetId="22">#REF!</definedName>
    <definedName name="Pop_Ratio">#REF!</definedName>
    <definedName name="PRF_1" localSheetId="22">#REF!</definedName>
    <definedName name="PRF_1">#REF!</definedName>
    <definedName name="PRF_2_P1" localSheetId="22">#REF!</definedName>
    <definedName name="PRF_2_P1">#REF!</definedName>
    <definedName name="PRF_2_P2" localSheetId="22">#REF!</definedName>
    <definedName name="PRF_2_P2">#REF!</definedName>
    <definedName name="PRF_3_AN1" localSheetId="22">#REF!</definedName>
    <definedName name="PRF_3_AN1">#REF!</definedName>
    <definedName name="PRF_3_AN2" localSheetId="22">#REF!</definedName>
    <definedName name="PRF_3_AN2">#REF!</definedName>
    <definedName name="PRF_3_AN3" localSheetId="22">#REF!</definedName>
    <definedName name="PRF_3_AN3">#REF!</definedName>
    <definedName name="_xlnm.Print_Area" localSheetId="1">'F1'!$A$1:$X$40</definedName>
    <definedName name="_xlnm.Print_Area" localSheetId="2">'F1.1'!$A$1:$Q$17</definedName>
    <definedName name="_xlnm.Print_Area" localSheetId="33">'F11'!$A$1:$V$30</definedName>
    <definedName name="_xlnm.Print_Area" localSheetId="35">'F13'!$A$1:$N$58</definedName>
    <definedName name="_xlnm.Print_Area" localSheetId="47">'F17'!$A$1:$J$74</definedName>
    <definedName name="_xlnm.Print_Area" localSheetId="3">'F2.1'!$A$1:$U$61</definedName>
    <definedName name="_xlnm.Print_Area" localSheetId="5">'F2.3'!$A$1:$T$73</definedName>
    <definedName name="_xlnm.Print_Area" localSheetId="6">'F2.4'!$A$1:$N$75</definedName>
    <definedName name="_xlnm.Print_Area" localSheetId="7">'F2.5'!$A$1:$U$27</definedName>
    <definedName name="_xlnm.Print_Area" localSheetId="9">'F2.7'!$A$1:$N$41</definedName>
    <definedName name="_xlnm.Print_Area" localSheetId="10">'F3'!$A$1:$X$26</definedName>
    <definedName name="_xlnm.Print_Area" localSheetId="11">'F3.1'!$A$1:$AB$69</definedName>
    <definedName name="_xlnm.Print_Area" localSheetId="12">'F3.2'!$A$1:$N$79</definedName>
    <definedName name="_xlnm.Print_Area" localSheetId="13">'F3.3'!$A$1:$O$46</definedName>
    <definedName name="_xlnm.Print_Area" localSheetId="14">'F3.4'!$A$1:$M$25</definedName>
    <definedName name="_xlnm.Print_Area" localSheetId="19">'F4.1 SHPC Nashik'!$A$1:$S$40</definedName>
    <definedName name="_xlnm.Print_Area" localSheetId="16">'F4.1 SHPC Pune'!$A$1:$S$32</definedName>
    <definedName name="_xlnm.Print_Area" localSheetId="20">'F4.2 SHPC Nashik'!$A$1:$BA$103</definedName>
    <definedName name="_xlnm.Print_Area" localSheetId="17">'F4.2 SHPC Pune'!$A$1:$AY$61</definedName>
    <definedName name="_xlnm.Print_Area" localSheetId="21">'F4.3 SHPC Nashik '!$A$1:$N$692</definedName>
    <definedName name="_xlnm.Print_Area" localSheetId="18">'F4.3 SHPC Pune'!$A$1:$N$430</definedName>
    <definedName name="_xlnm.Print_Area" localSheetId="23">'F5'!$A$1:$AB$166</definedName>
    <definedName name="_xlnm.Print_Area" localSheetId="22">#REF!</definedName>
    <definedName name="_xlnm.Print_Area" localSheetId="24">'F5.1 (N)'!$A$1:$AD$93</definedName>
    <definedName name="_xlnm.Print_Area" localSheetId="26">'F7'!$A$1:$R$66</definedName>
    <definedName name="_xlnm.Print_Area" localSheetId="27">'F8'!$A$1:$O$67</definedName>
    <definedName name="_xlnm.Print_Area" localSheetId="30">'F9.2'!$A$1:$N$71</definedName>
    <definedName name="_xlnm.Print_Area" localSheetId="31">'F9.3'!$A$1:$N$58</definedName>
    <definedName name="_xlnm.Print_Area" localSheetId="0">Index!$A$1:$D$58</definedName>
    <definedName name="_xlnm.Print_Area">#REF!</definedName>
    <definedName name="PRINT_AREA_MI" localSheetId="22">#REF!</definedName>
    <definedName name="PRINT_AREA_MI">#REF!</definedName>
    <definedName name="_xlnm.Print_Titles" localSheetId="4">'F2.2'!$1:$8</definedName>
    <definedName name="_xlnm.Print_Titles" localSheetId="19">'F4.1 SHPC Nashik'!$1:$6</definedName>
    <definedName name="_xlnm.Print_Titles" localSheetId="16">'F4.1 SHPC Pune'!$1:$6</definedName>
    <definedName name="_xlnm.Print_Titles" localSheetId="20">'F4.2 SHPC Nashik'!$A:$B,'F4.2 SHPC Nashik'!$1:$6</definedName>
    <definedName name="_xlnm.Print_Titles" localSheetId="17">'F4.2 SHPC Pune'!$A:$B,'F4.2 SHPC Pune'!$1:$9</definedName>
    <definedName name="_xlnm.Print_Titles" localSheetId="21">'F4.3 SHPC Nashik '!$1:$6</definedName>
    <definedName name="_xlnm.Print_Titles" localSheetId="18">'F4.3 SHPC Pune'!$1:$6</definedName>
    <definedName name="q">'[12]A 3.7'!$I$35,'[12]A 3.7'!$I$44</definedName>
    <definedName name="S" localSheetId="22">#REF!</definedName>
    <definedName name="S">#REF!</definedName>
    <definedName name="SECOAL" localSheetId="22">#REF!</definedName>
    <definedName name="SECOAL">#REF!</definedName>
    <definedName name="SEOREP" localSheetId="22">#REF!</definedName>
    <definedName name="SEOREP">#REF!</definedName>
    <definedName name="SEREPORT" localSheetId="22">#REF!</definedName>
    <definedName name="SEREPORT">#REF!</definedName>
    <definedName name="shft1">[7]SUMMERY!$P$1</definedName>
    <definedName name="shftI">[13]SUMMERY!$P$1</definedName>
    <definedName name="t" localSheetId="22">#REF!</definedName>
    <definedName name="t">#REF!</definedName>
    <definedName name="TaxPaid10">[6]Assumptions!$B$22</definedName>
    <definedName name="TaxRate11">[6]Assumptions!$B$20</definedName>
    <definedName name="Taxrate12" localSheetId="22">#REF!</definedName>
    <definedName name="Taxrate12">#REF!</definedName>
    <definedName name="TotalRoE10">[6]Assumptions!$B$23</definedName>
    <definedName name="tripping" localSheetId="22">#REF!</definedName>
    <definedName name="tripping">#REF!</definedName>
    <definedName name="uNIT1" localSheetId="22">#REF!</definedName>
    <definedName name="uNIT1">#REF!</definedName>
    <definedName name="uNIT2" localSheetId="22">#REF!</definedName>
    <definedName name="uNIT2">#REF!</definedName>
    <definedName name="uNIT3" localSheetId="22">#REF!</definedName>
    <definedName name="uNIT3">#REF!</definedName>
    <definedName name="W" localSheetId="22">#REF!</definedName>
    <definedName name="W">#REF!</definedName>
    <definedName name="WEEK_1A" localSheetId="22">#REF!</definedName>
    <definedName name="WEEK_1A">#REF!</definedName>
    <definedName name="WEEK_1B" localSheetId="22">#REF!</definedName>
    <definedName name="WEEK_1B">#REF!</definedName>
    <definedName name="WEEK_2A" localSheetId="22">#REF!</definedName>
    <definedName name="WEEK_2A">#REF!</definedName>
    <definedName name="WEEK_2B" localSheetId="22">#REF!</definedName>
    <definedName name="WEEK_2B">#REF!</definedName>
    <definedName name="Working_capital_Rate_of_Interest_for_FY_10_11">[4]Assumption_PwC!$C$116</definedName>
    <definedName name="X1_" localSheetId="22">#REF!</definedName>
    <definedName name="X1_">#REF!</definedName>
    <definedName name="X11__?___QUIT_" localSheetId="22">#REF!</definedName>
    <definedName name="X11__?___QUIT_">#REF!</definedName>
    <definedName name="xxxx" localSheetId="45" hidden="1">[14]CE!#REF!</definedName>
    <definedName name="xxxx" localSheetId="47" hidden="1">[14]CE!#REF!</definedName>
    <definedName name="xxxx" localSheetId="15" hidden="1">[14]CE!#REF!</definedName>
    <definedName name="xxxx" localSheetId="22" hidden="1">[14]CE!#REF!</definedName>
    <definedName name="xxxx" localSheetId="24" hidden="1">[14]CE!#REF!</definedName>
    <definedName name="xxxx" hidden="1">[14]CE!#REF!</definedName>
    <definedName name="YEAR" localSheetId="22">#REF!</definedName>
    <definedName name="YEAR">#REF!</definedName>
    <definedName name="Year1" localSheetId="22">#REF!</definedName>
    <definedName name="Year1">#REF!</definedName>
    <definedName name="Z_A05A0254_2D25_4269_AA4F_D166F945C039_.wvu.PrintArea" localSheetId="2" hidden="1">'F1.1'!$A$1:$G$18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93" l="1"/>
  <c r="R10" i="93"/>
  <c r="Q10" i="93"/>
  <c r="P10" i="93"/>
  <c r="O10" i="93"/>
  <c r="M10" i="93"/>
  <c r="H10" i="93"/>
  <c r="E10" i="93"/>
  <c r="G32" i="117"/>
  <c r="S32" i="117"/>
  <c r="S31" i="117"/>
  <c r="G31" i="117"/>
  <c r="S30" i="117"/>
  <c r="G30" i="117"/>
  <c r="S29" i="117"/>
  <c r="G29" i="117"/>
  <c r="S28" i="117"/>
  <c r="G28" i="117"/>
  <c r="G27" i="117"/>
  <c r="S26" i="117"/>
  <c r="G26" i="117"/>
  <c r="G25" i="117"/>
  <c r="S25" i="117"/>
  <c r="S24" i="117"/>
  <c r="G24" i="117"/>
  <c r="S23" i="117"/>
  <c r="G23" i="117"/>
  <c r="S22" i="117"/>
  <c r="G22" i="117"/>
  <c r="S21" i="117"/>
  <c r="G21" i="117"/>
  <c r="S20" i="117"/>
  <c r="G20" i="117"/>
  <c r="S19" i="117"/>
  <c r="G19" i="117"/>
  <c r="G18" i="117"/>
  <c r="G17" i="117"/>
  <c r="S17" i="117"/>
  <c r="G16" i="117"/>
  <c r="S16" i="117"/>
  <c r="G15" i="117"/>
  <c r="S15" i="117"/>
  <c r="G14" i="117"/>
  <c r="S14" i="117"/>
  <c r="S13" i="117"/>
  <c r="G13" i="117"/>
  <c r="S12" i="117"/>
  <c r="G12" i="117"/>
  <c r="S11" i="117"/>
  <c r="G11" i="117"/>
  <c r="G10" i="117"/>
  <c r="P100" i="118"/>
  <c r="AJ91" i="118"/>
  <c r="P91" i="118"/>
  <c r="P83" i="118"/>
  <c r="AL63" i="118"/>
  <c r="AP61" i="118"/>
  <c r="AO61" i="118"/>
  <c r="AM60" i="118"/>
  <c r="AL60" i="118"/>
  <c r="AK60" i="118"/>
  <c r="AW58" i="118"/>
  <c r="AV58" i="118"/>
  <c r="AU58" i="118"/>
  <c r="AT58" i="118"/>
  <c r="AS58" i="118"/>
  <c r="AR58" i="118"/>
  <c r="AQ58" i="118"/>
  <c r="AO58" i="118"/>
  <c r="AM58" i="118"/>
  <c r="AM61" i="118" s="1"/>
  <c r="AL58" i="118"/>
  <c r="AL61" i="118" s="1"/>
  <c r="AK58" i="118"/>
  <c r="AK61" i="118" s="1"/>
  <c r="AK64" i="118" s="1"/>
  <c r="AJ58" i="118"/>
  <c r="AB58" i="118"/>
  <c r="AA58" i="118"/>
  <c r="Z58" i="118"/>
  <c r="Y58" i="118"/>
  <c r="X58" i="118"/>
  <c r="W58" i="118"/>
  <c r="V58" i="118"/>
  <c r="U58" i="118"/>
  <c r="S58" i="118"/>
  <c r="R58" i="118"/>
  <c r="Q58" i="118"/>
  <c r="P58" i="118"/>
  <c r="AN57" i="118"/>
  <c r="T57" i="118"/>
  <c r="AN56" i="118"/>
  <c r="T56" i="118"/>
  <c r="AN55" i="118"/>
  <c r="T55" i="118"/>
  <c r="K55" i="118"/>
  <c r="L55" i="118"/>
  <c r="AN54" i="118"/>
  <c r="T54" i="118"/>
  <c r="L54" i="118"/>
  <c r="K54" i="118"/>
  <c r="AN53" i="118"/>
  <c r="T53" i="118"/>
  <c r="AN52" i="118"/>
  <c r="T52" i="118"/>
  <c r="AN51" i="118"/>
  <c r="T51" i="118"/>
  <c r="AN50" i="118"/>
  <c r="T50" i="118"/>
  <c r="AN49" i="118"/>
  <c r="T49" i="118"/>
  <c r="AN48" i="118"/>
  <c r="T48" i="118"/>
  <c r="AN47" i="118"/>
  <c r="T47" i="118"/>
  <c r="AN46" i="118"/>
  <c r="T46" i="118"/>
  <c r="AN45" i="118"/>
  <c r="T45" i="118"/>
  <c r="AN44" i="118"/>
  <c r="T44" i="118"/>
  <c r="AN43" i="118"/>
  <c r="T43" i="118"/>
  <c r="AN42" i="118"/>
  <c r="T42" i="118"/>
  <c r="AN41" i="118"/>
  <c r="T41" i="118"/>
  <c r="AN40" i="118"/>
  <c r="T40" i="118"/>
  <c r="AP39" i="118"/>
  <c r="AN39" i="118"/>
  <c r="T39" i="118"/>
  <c r="AN38" i="118"/>
  <c r="T38" i="118"/>
  <c r="AP38" i="118" s="1"/>
  <c r="AP37" i="118"/>
  <c r="AN37" i="118"/>
  <c r="T37" i="118"/>
  <c r="AN36" i="118"/>
  <c r="T36" i="118"/>
  <c r="AP36" i="118" s="1"/>
  <c r="AP35" i="118"/>
  <c r="AP58" i="118" s="1"/>
  <c r="AN35" i="118"/>
  <c r="T35" i="118"/>
  <c r="AN34" i="118"/>
  <c r="T34" i="118"/>
  <c r="D34" i="118"/>
  <c r="D35" i="118" s="1"/>
  <c r="D36" i="118" s="1"/>
  <c r="D37" i="118" s="1"/>
  <c r="D38" i="118" s="1"/>
  <c r="D39" i="118" s="1"/>
  <c r="AN33" i="118"/>
  <c r="T33" i="118"/>
  <c r="AN32" i="118"/>
  <c r="T32" i="118"/>
  <c r="F32" i="118"/>
  <c r="K32" i="118" s="1"/>
  <c r="E32" i="118"/>
  <c r="D32" i="118"/>
  <c r="AN31" i="118"/>
  <c r="T31" i="118"/>
  <c r="H31" i="118"/>
  <c r="G31" i="118"/>
  <c r="AN30" i="118"/>
  <c r="T30" i="118"/>
  <c r="AN29" i="118"/>
  <c r="T29" i="118"/>
  <c r="AN28" i="118"/>
  <c r="T28" i="118"/>
  <c r="AN27" i="118"/>
  <c r="T27" i="118"/>
  <c r="AN26" i="118"/>
  <c r="T26" i="118"/>
  <c r="AN25" i="118"/>
  <c r="T25" i="118"/>
  <c r="F25" i="118"/>
  <c r="K25" i="118" s="1"/>
  <c r="E25" i="118"/>
  <c r="E26" i="118" s="1"/>
  <c r="E27" i="118" s="1"/>
  <c r="E28" i="118" s="1"/>
  <c r="E29" i="118" s="1"/>
  <c r="E30" i="118" s="1"/>
  <c r="D25" i="118"/>
  <c r="D26" i="118" s="1"/>
  <c r="D27" i="118" s="1"/>
  <c r="D28" i="118" s="1"/>
  <c r="D29" i="118" s="1"/>
  <c r="D30" i="118" s="1"/>
  <c r="AN24" i="118"/>
  <c r="T24" i="118"/>
  <c r="K24" i="118"/>
  <c r="H24" i="118"/>
  <c r="G24" i="118"/>
  <c r="AN23" i="118"/>
  <c r="T23" i="118"/>
  <c r="AN22" i="118"/>
  <c r="T22" i="118"/>
  <c r="AN21" i="118"/>
  <c r="T21" i="118"/>
  <c r="AN20" i="118"/>
  <c r="T20" i="118"/>
  <c r="K20" i="118"/>
  <c r="F20" i="118"/>
  <c r="F21" i="118" s="1"/>
  <c r="E20" i="118"/>
  <c r="E21" i="118" s="1"/>
  <c r="E22" i="118" s="1"/>
  <c r="E23" i="118" s="1"/>
  <c r="D20" i="118"/>
  <c r="D21" i="118" s="1"/>
  <c r="D22" i="118" s="1"/>
  <c r="D23" i="118" s="1"/>
  <c r="AN19" i="118"/>
  <c r="T19" i="118"/>
  <c r="K19" i="118"/>
  <c r="H19" i="118"/>
  <c r="G19" i="118"/>
  <c r="AN18" i="118"/>
  <c r="T18" i="118"/>
  <c r="AN17" i="118"/>
  <c r="T17" i="118"/>
  <c r="AN16" i="118"/>
  <c r="T16" i="118"/>
  <c r="E16" i="118"/>
  <c r="E17" i="118" s="1"/>
  <c r="E18" i="118" s="1"/>
  <c r="AN15" i="118"/>
  <c r="T15" i="118"/>
  <c r="F15" i="118"/>
  <c r="F16" i="118" s="1"/>
  <c r="E15" i="118"/>
  <c r="D15" i="118"/>
  <c r="D16" i="118" s="1"/>
  <c r="D17" i="118" s="1"/>
  <c r="D18" i="118" s="1"/>
  <c r="AN14" i="118"/>
  <c r="T14" i="118"/>
  <c r="T58" i="118" s="1"/>
  <c r="K14" i="118"/>
  <c r="H14" i="118"/>
  <c r="G14" i="118"/>
  <c r="AN13" i="118"/>
  <c r="T13" i="118"/>
  <c r="AN12" i="118"/>
  <c r="T12" i="118"/>
  <c r="E12" i="118"/>
  <c r="E13" i="118" s="1"/>
  <c r="AN11" i="118"/>
  <c r="T11" i="118"/>
  <c r="F11" i="118"/>
  <c r="K11" i="118" s="1"/>
  <c r="E11" i="118"/>
  <c r="D11" i="118"/>
  <c r="D12" i="118" s="1"/>
  <c r="D13" i="118" s="1"/>
  <c r="AN10" i="118"/>
  <c r="AN58" i="118" s="1"/>
  <c r="T10" i="118"/>
  <c r="K10" i="118"/>
  <c r="H10" i="118"/>
  <c r="G10" i="118"/>
  <c r="L429" i="119"/>
  <c r="K429" i="119"/>
  <c r="M428" i="119"/>
  <c r="M427" i="119"/>
  <c r="M426" i="119"/>
  <c r="M425" i="119"/>
  <c r="M424" i="119"/>
  <c r="M423" i="119"/>
  <c r="M422" i="119"/>
  <c r="M421" i="119"/>
  <c r="M420" i="119"/>
  <c r="M419" i="119"/>
  <c r="M418" i="119"/>
  <c r="M417" i="119"/>
  <c r="M416" i="119"/>
  <c r="M415" i="119"/>
  <c r="M414" i="119"/>
  <c r="M413" i="119"/>
  <c r="M412" i="119"/>
  <c r="M411" i="119"/>
  <c r="M410" i="119"/>
  <c r="M409" i="119"/>
  <c r="M408" i="119"/>
  <c r="M407" i="119"/>
  <c r="M406" i="119"/>
  <c r="M405" i="119"/>
  <c r="M404" i="119"/>
  <c r="O403" i="119"/>
  <c r="P403" i="119" s="1"/>
  <c r="M403" i="119"/>
  <c r="M402" i="119"/>
  <c r="M401" i="119"/>
  <c r="O401" i="119" s="1"/>
  <c r="M400" i="119"/>
  <c r="O400" i="119" s="1"/>
  <c r="M399" i="119"/>
  <c r="M398" i="119"/>
  <c r="M397" i="119"/>
  <c r="M396" i="119"/>
  <c r="M395" i="119"/>
  <c r="M394" i="119"/>
  <c r="M393" i="119"/>
  <c r="O393" i="119" s="1"/>
  <c r="M392" i="119"/>
  <c r="O392" i="119" s="1"/>
  <c r="M391" i="119"/>
  <c r="M390" i="119"/>
  <c r="M389" i="119"/>
  <c r="P388" i="119"/>
  <c r="M388" i="119"/>
  <c r="O388" i="119" s="1"/>
  <c r="M387" i="119"/>
  <c r="O387" i="119" s="1"/>
  <c r="P387" i="119" s="1"/>
  <c r="M386" i="119"/>
  <c r="M385" i="119"/>
  <c r="M384" i="119"/>
  <c r="O384" i="119" s="1"/>
  <c r="M383" i="119"/>
  <c r="O383" i="119" s="1"/>
  <c r="P383" i="119" s="1"/>
  <c r="M382" i="119"/>
  <c r="L376" i="119"/>
  <c r="K376" i="119"/>
  <c r="M375" i="119"/>
  <c r="M374" i="119"/>
  <c r="M373" i="119"/>
  <c r="M372" i="119"/>
  <c r="M371" i="119"/>
  <c r="M370" i="119"/>
  <c r="M369" i="119"/>
  <c r="M368" i="119"/>
  <c r="M367" i="119"/>
  <c r="M366" i="119"/>
  <c r="M365" i="119"/>
  <c r="M364" i="119"/>
  <c r="M363" i="119"/>
  <c r="M362" i="119"/>
  <c r="M361" i="119"/>
  <c r="M360" i="119"/>
  <c r="M359" i="119"/>
  <c r="M358" i="119"/>
  <c r="M357" i="119"/>
  <c r="M356" i="119"/>
  <c r="M355" i="119"/>
  <c r="M354" i="119"/>
  <c r="M353" i="119"/>
  <c r="M352" i="119"/>
  <c r="M351" i="119"/>
  <c r="M350" i="119"/>
  <c r="M349" i="119"/>
  <c r="O349" i="119" s="1"/>
  <c r="P349" i="119" s="1"/>
  <c r="M348" i="119"/>
  <c r="M347" i="119"/>
  <c r="M346" i="119"/>
  <c r="M345" i="119"/>
  <c r="O345" i="119" s="1"/>
  <c r="P345" i="119" s="1"/>
  <c r="M344" i="119"/>
  <c r="M343" i="119"/>
  <c r="O343" i="119" s="1"/>
  <c r="M342" i="119"/>
  <c r="M341" i="119"/>
  <c r="M340" i="119"/>
  <c r="M339" i="119"/>
  <c r="O339" i="119" s="1"/>
  <c r="M338" i="119"/>
  <c r="M337" i="119"/>
  <c r="O337" i="119" s="1"/>
  <c r="M336" i="119"/>
  <c r="O336" i="119" s="1"/>
  <c r="M335" i="119"/>
  <c r="O335" i="119" s="1"/>
  <c r="P335" i="119" s="1"/>
  <c r="M334" i="119"/>
  <c r="O334" i="119" s="1"/>
  <c r="P334" i="119" s="1"/>
  <c r="M333" i="119"/>
  <c r="M332" i="119"/>
  <c r="M331" i="119"/>
  <c r="M330" i="119"/>
  <c r="M329" i="119"/>
  <c r="M328" i="119"/>
  <c r="L323" i="119"/>
  <c r="K323" i="119"/>
  <c r="B323" i="119"/>
  <c r="B376" i="119" s="1"/>
  <c r="M322" i="119"/>
  <c r="M321" i="119"/>
  <c r="M320" i="119"/>
  <c r="M319" i="119"/>
  <c r="M318" i="119"/>
  <c r="M317" i="119"/>
  <c r="M316" i="119"/>
  <c r="M315" i="119"/>
  <c r="M314" i="119"/>
  <c r="M313" i="119"/>
  <c r="M312" i="119"/>
  <c r="M311" i="119"/>
  <c r="M310" i="119"/>
  <c r="M309" i="119"/>
  <c r="M308" i="119"/>
  <c r="M307" i="119"/>
  <c r="M306" i="119"/>
  <c r="M305" i="119"/>
  <c r="M304" i="119"/>
  <c r="M303" i="119"/>
  <c r="M302" i="119"/>
  <c r="M301" i="119"/>
  <c r="M300" i="119"/>
  <c r="M299" i="119"/>
  <c r="M298" i="119"/>
  <c r="M297" i="119"/>
  <c r="M296" i="119"/>
  <c r="M295" i="119"/>
  <c r="M294" i="119"/>
  <c r="M293" i="119"/>
  <c r="M292" i="119"/>
  <c r="M291" i="119"/>
  <c r="M290" i="119"/>
  <c r="M289" i="119"/>
  <c r="M288" i="119"/>
  <c r="O288" i="119" s="1"/>
  <c r="P288" i="119" s="1"/>
  <c r="M287" i="119"/>
  <c r="M286" i="119"/>
  <c r="M285" i="119"/>
  <c r="M284" i="119"/>
  <c r="M283" i="119"/>
  <c r="O283" i="119" s="1"/>
  <c r="P283" i="119" s="1"/>
  <c r="M282" i="119"/>
  <c r="O282" i="119" s="1"/>
  <c r="M281" i="119"/>
  <c r="M280" i="119"/>
  <c r="O280" i="119" s="1"/>
  <c r="P280" i="119" s="1"/>
  <c r="M279" i="119"/>
  <c r="M278" i="119"/>
  <c r="M277" i="119"/>
  <c r="O277" i="119" s="1"/>
  <c r="P277" i="119" s="1"/>
  <c r="M276" i="119"/>
  <c r="O276" i="119" s="1"/>
  <c r="P276" i="119" s="1"/>
  <c r="M275" i="119"/>
  <c r="L270" i="119"/>
  <c r="K270" i="119"/>
  <c r="M269" i="119"/>
  <c r="M268" i="119"/>
  <c r="M267" i="119"/>
  <c r="M266" i="119"/>
  <c r="M265" i="119"/>
  <c r="M264" i="119"/>
  <c r="M263" i="119"/>
  <c r="M262" i="119"/>
  <c r="M261" i="119"/>
  <c r="M260" i="119"/>
  <c r="M259" i="119"/>
  <c r="M258" i="119"/>
  <c r="M257" i="119"/>
  <c r="M256" i="119"/>
  <c r="M255" i="119"/>
  <c r="M254" i="119"/>
  <c r="M253" i="119"/>
  <c r="M252" i="119"/>
  <c r="M251" i="119"/>
  <c r="M250" i="119"/>
  <c r="M249" i="119"/>
  <c r="M248" i="119"/>
  <c r="M247" i="119"/>
  <c r="M246" i="119"/>
  <c r="M245" i="119"/>
  <c r="M244" i="119"/>
  <c r="M243" i="119"/>
  <c r="O243" i="119" s="1"/>
  <c r="P243" i="119" s="1"/>
  <c r="M242" i="119"/>
  <c r="M241" i="119"/>
  <c r="M240" i="119"/>
  <c r="M239" i="119"/>
  <c r="O239" i="119" s="1"/>
  <c r="P239" i="119" s="1"/>
  <c r="M238" i="119"/>
  <c r="O238" i="119" s="1"/>
  <c r="P238" i="119" s="1"/>
  <c r="M237" i="119"/>
  <c r="M236" i="119"/>
  <c r="M235" i="119"/>
  <c r="M234" i="119"/>
  <c r="M233" i="119"/>
  <c r="M232" i="119"/>
  <c r="M231" i="119"/>
  <c r="O231" i="119" s="1"/>
  <c r="P231" i="119" s="1"/>
  <c r="M230" i="119"/>
  <c r="M229" i="119"/>
  <c r="O229" i="119" s="1"/>
  <c r="M228" i="119"/>
  <c r="M227" i="119"/>
  <c r="O227" i="119" s="1"/>
  <c r="M226" i="119"/>
  <c r="O226" i="119" s="1"/>
  <c r="M225" i="119"/>
  <c r="M224" i="119"/>
  <c r="M223" i="119"/>
  <c r="M222" i="119"/>
  <c r="O222" i="119" s="1"/>
  <c r="P222" i="119" s="1"/>
  <c r="L217" i="119"/>
  <c r="K217" i="119"/>
  <c r="M216" i="119"/>
  <c r="M215" i="119"/>
  <c r="M214" i="119"/>
  <c r="M213" i="119"/>
  <c r="M212" i="119"/>
  <c r="M211" i="119"/>
  <c r="M210" i="119"/>
  <c r="M209" i="119"/>
  <c r="M208" i="119"/>
  <c r="M207" i="119"/>
  <c r="M206" i="119"/>
  <c r="M205" i="119"/>
  <c r="M204" i="119"/>
  <c r="M203" i="119"/>
  <c r="M202" i="119"/>
  <c r="M201" i="119"/>
  <c r="M200" i="119"/>
  <c r="M199" i="119"/>
  <c r="M198" i="119"/>
  <c r="M197" i="119"/>
  <c r="M196" i="119"/>
  <c r="M195" i="119"/>
  <c r="M194" i="119"/>
  <c r="M193" i="119"/>
  <c r="M192" i="119"/>
  <c r="M191" i="119"/>
  <c r="M190" i="119"/>
  <c r="O190" i="119" s="1"/>
  <c r="M189" i="119"/>
  <c r="O189" i="119" s="1"/>
  <c r="P189" i="119" s="1"/>
  <c r="M188" i="119"/>
  <c r="M187" i="119"/>
  <c r="M186" i="119"/>
  <c r="M185" i="119"/>
  <c r="M184" i="119"/>
  <c r="M183" i="119"/>
  <c r="O183" i="119" s="1"/>
  <c r="P183" i="119" s="1"/>
  <c r="M182" i="119"/>
  <c r="M181" i="119"/>
  <c r="M180" i="119"/>
  <c r="M179" i="119"/>
  <c r="M178" i="119"/>
  <c r="M177" i="119"/>
  <c r="M176" i="119"/>
  <c r="M175" i="119"/>
  <c r="O175" i="119" s="1"/>
  <c r="P175" i="119" s="1"/>
  <c r="M174" i="119"/>
  <c r="M173" i="119"/>
  <c r="M172" i="119"/>
  <c r="M171" i="119"/>
  <c r="O171" i="119" s="1"/>
  <c r="P171" i="119" s="1"/>
  <c r="M170" i="119"/>
  <c r="O170" i="119" s="1"/>
  <c r="P170" i="119" s="1"/>
  <c r="M169" i="119"/>
  <c r="L164" i="119"/>
  <c r="K164" i="119"/>
  <c r="M163" i="119"/>
  <c r="M162" i="119"/>
  <c r="M161" i="119"/>
  <c r="M160" i="119"/>
  <c r="M159" i="119"/>
  <c r="C159" i="119"/>
  <c r="C212" i="119" s="1"/>
  <c r="C265" i="119" s="1"/>
  <c r="C318" i="119" s="1"/>
  <c r="C371" i="119" s="1"/>
  <c r="C424" i="119" s="1"/>
  <c r="M158" i="119"/>
  <c r="M157" i="119"/>
  <c r="M156" i="119"/>
  <c r="M155" i="119"/>
  <c r="M154" i="119"/>
  <c r="M153" i="119"/>
  <c r="M152" i="119"/>
  <c r="M151" i="119"/>
  <c r="M150" i="119"/>
  <c r="M149" i="119"/>
  <c r="M148" i="119"/>
  <c r="M147" i="119"/>
  <c r="M146" i="119"/>
  <c r="M145" i="119"/>
  <c r="M144" i="119"/>
  <c r="M143" i="119"/>
  <c r="M142" i="119"/>
  <c r="M141" i="119"/>
  <c r="M140" i="119"/>
  <c r="M139" i="119"/>
  <c r="M138" i="119"/>
  <c r="O138" i="119" s="1"/>
  <c r="M137" i="119"/>
  <c r="O137" i="119" s="1"/>
  <c r="P137" i="119" s="1"/>
  <c r="M136" i="119"/>
  <c r="O136" i="119" s="1"/>
  <c r="P136" i="119" s="1"/>
  <c r="M135" i="119"/>
  <c r="M134" i="119"/>
  <c r="O134" i="119" s="1"/>
  <c r="M133" i="119"/>
  <c r="M132" i="119"/>
  <c r="O132" i="119" s="1"/>
  <c r="P132" i="119" s="1"/>
  <c r="M131" i="119"/>
  <c r="M130" i="119"/>
  <c r="O130" i="119" s="1"/>
  <c r="M129" i="119"/>
  <c r="O129" i="119" s="1"/>
  <c r="M128" i="119"/>
  <c r="O128" i="119" s="1"/>
  <c r="M127" i="119"/>
  <c r="M126" i="119"/>
  <c r="O126" i="119" s="1"/>
  <c r="M125" i="119"/>
  <c r="M124" i="119"/>
  <c r="O124" i="119" s="1"/>
  <c r="P124" i="119" s="1"/>
  <c r="M123" i="119"/>
  <c r="M122" i="119"/>
  <c r="M121" i="119"/>
  <c r="M120" i="119"/>
  <c r="O120" i="119" s="1"/>
  <c r="P120" i="119" s="1"/>
  <c r="M119" i="119"/>
  <c r="M118" i="119"/>
  <c r="M117" i="119"/>
  <c r="O117" i="119" s="1"/>
  <c r="P117" i="119" s="1"/>
  <c r="M116" i="119"/>
  <c r="B114" i="119"/>
  <c r="B167" i="119" s="1"/>
  <c r="B220" i="119" s="1"/>
  <c r="B273" i="119" s="1"/>
  <c r="B326" i="119" s="1"/>
  <c r="B379" i="119" s="1"/>
  <c r="L111" i="119"/>
  <c r="K111" i="119"/>
  <c r="B111" i="119"/>
  <c r="B164" i="119" s="1"/>
  <c r="B217" i="119" s="1"/>
  <c r="B270" i="119" s="1"/>
  <c r="M110" i="119"/>
  <c r="M109" i="119"/>
  <c r="M108" i="119"/>
  <c r="M107" i="119"/>
  <c r="M106" i="119"/>
  <c r="M105" i="119"/>
  <c r="B105" i="119"/>
  <c r="B158" i="119" s="1"/>
  <c r="B211" i="119" s="1"/>
  <c r="B264" i="119" s="1"/>
  <c r="B317" i="119" s="1"/>
  <c r="B370" i="119" s="1"/>
  <c r="B423" i="119" s="1"/>
  <c r="M104" i="119"/>
  <c r="D104" i="119"/>
  <c r="D157" i="119" s="1"/>
  <c r="D210" i="119" s="1"/>
  <c r="D263" i="119" s="1"/>
  <c r="D316" i="119" s="1"/>
  <c r="D369" i="119" s="1"/>
  <c r="D422" i="119" s="1"/>
  <c r="M103" i="119"/>
  <c r="M102" i="119"/>
  <c r="M101" i="119"/>
  <c r="M100" i="119"/>
  <c r="M99" i="119"/>
  <c r="M98" i="119"/>
  <c r="M97" i="119"/>
  <c r="M96" i="119"/>
  <c r="M95" i="119"/>
  <c r="M94" i="119"/>
  <c r="M93" i="119"/>
  <c r="B91" i="119"/>
  <c r="B144" i="119" s="1"/>
  <c r="B197" i="119" s="1"/>
  <c r="B250" i="119" s="1"/>
  <c r="B303" i="119" s="1"/>
  <c r="B356" i="119" s="1"/>
  <c r="B409" i="119" s="1"/>
  <c r="M87" i="119"/>
  <c r="M86" i="119"/>
  <c r="M85" i="119"/>
  <c r="B85" i="119"/>
  <c r="B138" i="119" s="1"/>
  <c r="B191" i="119" s="1"/>
  <c r="B244" i="119" s="1"/>
  <c r="B297" i="119" s="1"/>
  <c r="B350" i="119" s="1"/>
  <c r="B403" i="119" s="1"/>
  <c r="M84" i="119"/>
  <c r="M83" i="119"/>
  <c r="O83" i="119" s="1"/>
  <c r="P83" i="119" s="1"/>
  <c r="M82" i="119"/>
  <c r="M81" i="119"/>
  <c r="M80" i="119"/>
  <c r="M79" i="119"/>
  <c r="M78" i="119"/>
  <c r="O78" i="119" s="1"/>
  <c r="M77" i="119"/>
  <c r="M76" i="119"/>
  <c r="M75" i="119"/>
  <c r="O75" i="119" s="1"/>
  <c r="M74" i="119"/>
  <c r="O74" i="119" s="1"/>
  <c r="P74" i="119" s="1"/>
  <c r="A74" i="119"/>
  <c r="A127" i="119" s="1"/>
  <c r="A180" i="119" s="1"/>
  <c r="A233" i="119" s="1"/>
  <c r="A286" i="119" s="1"/>
  <c r="A339" i="119" s="1"/>
  <c r="A392" i="119" s="1"/>
  <c r="M73" i="119"/>
  <c r="M72" i="119"/>
  <c r="M71" i="119"/>
  <c r="M70" i="119"/>
  <c r="M69" i="119"/>
  <c r="M68" i="119"/>
  <c r="B68" i="119"/>
  <c r="B121" i="119" s="1"/>
  <c r="B174" i="119" s="1"/>
  <c r="B227" i="119" s="1"/>
  <c r="B280" i="119" s="1"/>
  <c r="B333" i="119" s="1"/>
  <c r="B386" i="119" s="1"/>
  <c r="M67" i="119"/>
  <c r="O67" i="119" s="1"/>
  <c r="C67" i="119"/>
  <c r="C120" i="119" s="1"/>
  <c r="C173" i="119" s="1"/>
  <c r="C226" i="119" s="1"/>
  <c r="C279" i="119" s="1"/>
  <c r="C332" i="119" s="1"/>
  <c r="C385" i="119" s="1"/>
  <c r="M66" i="119"/>
  <c r="M65" i="119"/>
  <c r="M64" i="119"/>
  <c r="B64" i="119"/>
  <c r="B117" i="119" s="1"/>
  <c r="B170" i="119" s="1"/>
  <c r="B223" i="119" s="1"/>
  <c r="B276" i="119" s="1"/>
  <c r="B329" i="119" s="1"/>
  <c r="B382" i="119" s="1"/>
  <c r="A64" i="119"/>
  <c r="A117" i="119" s="1"/>
  <c r="A170" i="119" s="1"/>
  <c r="A223" i="119" s="1"/>
  <c r="A276" i="119" s="1"/>
  <c r="A329" i="119" s="1"/>
  <c r="A382" i="119" s="1"/>
  <c r="B61" i="119"/>
  <c r="L58" i="119"/>
  <c r="K58" i="119"/>
  <c r="M57" i="119"/>
  <c r="E110" i="119"/>
  <c r="E163" i="119" s="1"/>
  <c r="E216" i="119" s="1"/>
  <c r="E269" i="119" s="1"/>
  <c r="E322" i="119" s="1"/>
  <c r="E375" i="119" s="1"/>
  <c r="E428" i="119" s="1"/>
  <c r="D110" i="119"/>
  <c r="D163" i="119" s="1"/>
  <c r="D216" i="119" s="1"/>
  <c r="D269" i="119" s="1"/>
  <c r="D322" i="119" s="1"/>
  <c r="D375" i="119" s="1"/>
  <c r="D428" i="119" s="1"/>
  <c r="C110" i="119"/>
  <c r="C163" i="119" s="1"/>
  <c r="C216" i="119" s="1"/>
  <c r="C269" i="119" s="1"/>
  <c r="C322" i="119" s="1"/>
  <c r="C375" i="119" s="1"/>
  <c r="C428" i="119" s="1"/>
  <c r="B110" i="119"/>
  <c r="B163" i="119" s="1"/>
  <c r="B216" i="119" s="1"/>
  <c r="B269" i="119" s="1"/>
  <c r="B322" i="119" s="1"/>
  <c r="B375" i="119" s="1"/>
  <c r="B428" i="119" s="1"/>
  <c r="A110" i="119"/>
  <c r="A163" i="119" s="1"/>
  <c r="A216" i="119" s="1"/>
  <c r="A269" i="119" s="1"/>
  <c r="A322" i="119" s="1"/>
  <c r="A375" i="119" s="1"/>
  <c r="A428" i="119" s="1"/>
  <c r="M56" i="119"/>
  <c r="E109" i="119"/>
  <c r="E162" i="119" s="1"/>
  <c r="E215" i="119" s="1"/>
  <c r="E268" i="119" s="1"/>
  <c r="E321" i="119" s="1"/>
  <c r="E374" i="119" s="1"/>
  <c r="E427" i="119" s="1"/>
  <c r="D109" i="119"/>
  <c r="D162" i="119" s="1"/>
  <c r="D215" i="119" s="1"/>
  <c r="D268" i="119" s="1"/>
  <c r="D321" i="119" s="1"/>
  <c r="D374" i="119" s="1"/>
  <c r="D427" i="119" s="1"/>
  <c r="C109" i="119"/>
  <c r="C162" i="119" s="1"/>
  <c r="C215" i="119" s="1"/>
  <c r="C268" i="119" s="1"/>
  <c r="C321" i="119" s="1"/>
  <c r="C374" i="119" s="1"/>
  <c r="C427" i="119" s="1"/>
  <c r="B109" i="119"/>
  <c r="B162" i="119" s="1"/>
  <c r="B215" i="119" s="1"/>
  <c r="B268" i="119" s="1"/>
  <c r="B321" i="119" s="1"/>
  <c r="B374" i="119" s="1"/>
  <c r="B427" i="119" s="1"/>
  <c r="A109" i="119"/>
  <c r="A162" i="119" s="1"/>
  <c r="A215" i="119" s="1"/>
  <c r="A268" i="119" s="1"/>
  <c r="A321" i="119" s="1"/>
  <c r="A374" i="119" s="1"/>
  <c r="A427" i="119" s="1"/>
  <c r="M55" i="119"/>
  <c r="E108" i="119"/>
  <c r="E161" i="119" s="1"/>
  <c r="E214" i="119" s="1"/>
  <c r="E267" i="119" s="1"/>
  <c r="E320" i="119" s="1"/>
  <c r="E373" i="119" s="1"/>
  <c r="E426" i="119" s="1"/>
  <c r="D108" i="119"/>
  <c r="D161" i="119" s="1"/>
  <c r="D214" i="119" s="1"/>
  <c r="D267" i="119" s="1"/>
  <c r="D320" i="119" s="1"/>
  <c r="D373" i="119" s="1"/>
  <c r="D426" i="119" s="1"/>
  <c r="C108" i="119"/>
  <c r="C161" i="119" s="1"/>
  <c r="C214" i="119" s="1"/>
  <c r="C267" i="119" s="1"/>
  <c r="C320" i="119" s="1"/>
  <c r="C373" i="119" s="1"/>
  <c r="C426" i="119" s="1"/>
  <c r="B108" i="119"/>
  <c r="B161" i="119" s="1"/>
  <c r="B214" i="119" s="1"/>
  <c r="B267" i="119" s="1"/>
  <c r="B320" i="119" s="1"/>
  <c r="B373" i="119" s="1"/>
  <c r="B426" i="119" s="1"/>
  <c r="A108" i="119"/>
  <c r="A161" i="119" s="1"/>
  <c r="A214" i="119" s="1"/>
  <c r="A267" i="119" s="1"/>
  <c r="A320" i="119" s="1"/>
  <c r="A373" i="119" s="1"/>
  <c r="A426" i="119" s="1"/>
  <c r="M54" i="119"/>
  <c r="E107" i="119"/>
  <c r="E160" i="119" s="1"/>
  <c r="E213" i="119" s="1"/>
  <c r="E266" i="119" s="1"/>
  <c r="E319" i="119" s="1"/>
  <c r="E372" i="119" s="1"/>
  <c r="E425" i="119" s="1"/>
  <c r="D107" i="119"/>
  <c r="D160" i="119" s="1"/>
  <c r="D213" i="119" s="1"/>
  <c r="D266" i="119" s="1"/>
  <c r="D319" i="119" s="1"/>
  <c r="D372" i="119" s="1"/>
  <c r="D425" i="119" s="1"/>
  <c r="C107" i="119"/>
  <c r="C160" i="119" s="1"/>
  <c r="C213" i="119" s="1"/>
  <c r="C266" i="119" s="1"/>
  <c r="C319" i="119" s="1"/>
  <c r="C372" i="119" s="1"/>
  <c r="C425" i="119" s="1"/>
  <c r="B107" i="119"/>
  <c r="B160" i="119" s="1"/>
  <c r="B213" i="119" s="1"/>
  <c r="B266" i="119" s="1"/>
  <c r="B319" i="119" s="1"/>
  <c r="B372" i="119" s="1"/>
  <c r="B425" i="119" s="1"/>
  <c r="A107" i="119"/>
  <c r="A160" i="119" s="1"/>
  <c r="A213" i="119" s="1"/>
  <c r="A266" i="119" s="1"/>
  <c r="A319" i="119" s="1"/>
  <c r="A372" i="119" s="1"/>
  <c r="A425" i="119" s="1"/>
  <c r="M53" i="119"/>
  <c r="E106" i="119"/>
  <c r="E159" i="119" s="1"/>
  <c r="E212" i="119" s="1"/>
  <c r="E265" i="119" s="1"/>
  <c r="E318" i="119" s="1"/>
  <c r="E371" i="119" s="1"/>
  <c r="E424" i="119" s="1"/>
  <c r="D106" i="119"/>
  <c r="D159" i="119" s="1"/>
  <c r="D212" i="119" s="1"/>
  <c r="D265" i="119" s="1"/>
  <c r="D318" i="119" s="1"/>
  <c r="D371" i="119" s="1"/>
  <c r="D424" i="119" s="1"/>
  <c r="C106" i="119"/>
  <c r="B106" i="119"/>
  <c r="B159" i="119" s="1"/>
  <c r="B212" i="119" s="1"/>
  <c r="B265" i="119" s="1"/>
  <c r="B318" i="119" s="1"/>
  <c r="B371" i="119" s="1"/>
  <c r="B424" i="119" s="1"/>
  <c r="A106" i="119"/>
  <c r="A159" i="119" s="1"/>
  <c r="A212" i="119" s="1"/>
  <c r="A265" i="119" s="1"/>
  <c r="A318" i="119" s="1"/>
  <c r="A371" i="119" s="1"/>
  <c r="A424" i="119" s="1"/>
  <c r="M52" i="119"/>
  <c r="E105" i="119"/>
  <c r="E158" i="119" s="1"/>
  <c r="E211" i="119" s="1"/>
  <c r="E264" i="119" s="1"/>
  <c r="E317" i="119" s="1"/>
  <c r="E370" i="119" s="1"/>
  <c r="E423" i="119" s="1"/>
  <c r="D105" i="119"/>
  <c r="D158" i="119" s="1"/>
  <c r="D211" i="119" s="1"/>
  <c r="D264" i="119" s="1"/>
  <c r="D317" i="119" s="1"/>
  <c r="D370" i="119" s="1"/>
  <c r="D423" i="119" s="1"/>
  <c r="C105" i="119"/>
  <c r="C158" i="119" s="1"/>
  <c r="C211" i="119" s="1"/>
  <c r="C264" i="119" s="1"/>
  <c r="C317" i="119" s="1"/>
  <c r="C370" i="119" s="1"/>
  <c r="C423" i="119" s="1"/>
  <c r="A105" i="119"/>
  <c r="A158" i="119" s="1"/>
  <c r="A211" i="119" s="1"/>
  <c r="A264" i="119" s="1"/>
  <c r="A317" i="119" s="1"/>
  <c r="A370" i="119" s="1"/>
  <c r="A423" i="119" s="1"/>
  <c r="M51" i="119"/>
  <c r="E104" i="119"/>
  <c r="E157" i="119" s="1"/>
  <c r="E210" i="119" s="1"/>
  <c r="E263" i="119" s="1"/>
  <c r="E316" i="119" s="1"/>
  <c r="E369" i="119" s="1"/>
  <c r="E422" i="119" s="1"/>
  <c r="C104" i="119"/>
  <c r="C157" i="119" s="1"/>
  <c r="C210" i="119" s="1"/>
  <c r="C263" i="119" s="1"/>
  <c r="C316" i="119" s="1"/>
  <c r="C369" i="119" s="1"/>
  <c r="C422" i="119" s="1"/>
  <c r="B104" i="119"/>
  <c r="B157" i="119" s="1"/>
  <c r="B210" i="119" s="1"/>
  <c r="B263" i="119" s="1"/>
  <c r="B316" i="119" s="1"/>
  <c r="B369" i="119" s="1"/>
  <c r="B422" i="119" s="1"/>
  <c r="A104" i="119"/>
  <c r="A157" i="119" s="1"/>
  <c r="A210" i="119" s="1"/>
  <c r="A263" i="119" s="1"/>
  <c r="A316" i="119" s="1"/>
  <c r="A369" i="119" s="1"/>
  <c r="A422" i="119" s="1"/>
  <c r="M50" i="119"/>
  <c r="E103" i="119"/>
  <c r="E156" i="119" s="1"/>
  <c r="E209" i="119" s="1"/>
  <c r="E262" i="119" s="1"/>
  <c r="E315" i="119" s="1"/>
  <c r="E368" i="119" s="1"/>
  <c r="E421" i="119" s="1"/>
  <c r="D103" i="119"/>
  <c r="D156" i="119" s="1"/>
  <c r="D209" i="119" s="1"/>
  <c r="D262" i="119" s="1"/>
  <c r="D315" i="119" s="1"/>
  <c r="D368" i="119" s="1"/>
  <c r="D421" i="119" s="1"/>
  <c r="C103" i="119"/>
  <c r="C156" i="119" s="1"/>
  <c r="C209" i="119" s="1"/>
  <c r="C262" i="119" s="1"/>
  <c r="C315" i="119" s="1"/>
  <c r="C368" i="119" s="1"/>
  <c r="C421" i="119" s="1"/>
  <c r="B103" i="119"/>
  <c r="B156" i="119" s="1"/>
  <c r="B209" i="119" s="1"/>
  <c r="B262" i="119" s="1"/>
  <c r="B315" i="119" s="1"/>
  <c r="B368" i="119" s="1"/>
  <c r="B421" i="119" s="1"/>
  <c r="A103" i="119"/>
  <c r="A156" i="119" s="1"/>
  <c r="A209" i="119" s="1"/>
  <c r="A262" i="119" s="1"/>
  <c r="A315" i="119" s="1"/>
  <c r="A368" i="119" s="1"/>
  <c r="A421" i="119" s="1"/>
  <c r="M49" i="119"/>
  <c r="E102" i="119"/>
  <c r="E155" i="119" s="1"/>
  <c r="E208" i="119" s="1"/>
  <c r="E261" i="119" s="1"/>
  <c r="E314" i="119" s="1"/>
  <c r="E367" i="119" s="1"/>
  <c r="E420" i="119" s="1"/>
  <c r="D102" i="119"/>
  <c r="D155" i="119" s="1"/>
  <c r="D208" i="119" s="1"/>
  <c r="D261" i="119" s="1"/>
  <c r="D314" i="119" s="1"/>
  <c r="D367" i="119" s="1"/>
  <c r="D420" i="119" s="1"/>
  <c r="C102" i="119"/>
  <c r="C155" i="119" s="1"/>
  <c r="C208" i="119" s="1"/>
  <c r="C261" i="119" s="1"/>
  <c r="C314" i="119" s="1"/>
  <c r="C367" i="119" s="1"/>
  <c r="C420" i="119" s="1"/>
  <c r="B102" i="119"/>
  <c r="B155" i="119" s="1"/>
  <c r="B208" i="119" s="1"/>
  <c r="B261" i="119" s="1"/>
  <c r="B314" i="119" s="1"/>
  <c r="B367" i="119" s="1"/>
  <c r="B420" i="119" s="1"/>
  <c r="A102" i="119"/>
  <c r="A155" i="119" s="1"/>
  <c r="A208" i="119" s="1"/>
  <c r="A261" i="119" s="1"/>
  <c r="A314" i="119" s="1"/>
  <c r="A367" i="119" s="1"/>
  <c r="A420" i="119" s="1"/>
  <c r="M48" i="119"/>
  <c r="E101" i="119"/>
  <c r="E154" i="119" s="1"/>
  <c r="E207" i="119" s="1"/>
  <c r="E260" i="119" s="1"/>
  <c r="E313" i="119" s="1"/>
  <c r="E366" i="119" s="1"/>
  <c r="E419" i="119" s="1"/>
  <c r="D101" i="119"/>
  <c r="D154" i="119" s="1"/>
  <c r="D207" i="119" s="1"/>
  <c r="D260" i="119" s="1"/>
  <c r="D313" i="119" s="1"/>
  <c r="D366" i="119" s="1"/>
  <c r="D419" i="119" s="1"/>
  <c r="C101" i="119"/>
  <c r="C154" i="119" s="1"/>
  <c r="C207" i="119" s="1"/>
  <c r="C260" i="119" s="1"/>
  <c r="C313" i="119" s="1"/>
  <c r="C366" i="119" s="1"/>
  <c r="C419" i="119" s="1"/>
  <c r="B101" i="119"/>
  <c r="B154" i="119" s="1"/>
  <c r="B207" i="119" s="1"/>
  <c r="B260" i="119" s="1"/>
  <c r="B313" i="119" s="1"/>
  <c r="B366" i="119" s="1"/>
  <c r="B419" i="119" s="1"/>
  <c r="A101" i="119"/>
  <c r="A154" i="119" s="1"/>
  <c r="A207" i="119" s="1"/>
  <c r="A260" i="119" s="1"/>
  <c r="A313" i="119" s="1"/>
  <c r="A366" i="119" s="1"/>
  <c r="A419" i="119" s="1"/>
  <c r="M47" i="119"/>
  <c r="E100" i="119"/>
  <c r="E153" i="119" s="1"/>
  <c r="E206" i="119" s="1"/>
  <c r="E259" i="119" s="1"/>
  <c r="E312" i="119" s="1"/>
  <c r="E365" i="119" s="1"/>
  <c r="E418" i="119" s="1"/>
  <c r="D100" i="119"/>
  <c r="D153" i="119" s="1"/>
  <c r="D206" i="119" s="1"/>
  <c r="D259" i="119" s="1"/>
  <c r="D312" i="119" s="1"/>
  <c r="D365" i="119" s="1"/>
  <c r="D418" i="119" s="1"/>
  <c r="C100" i="119"/>
  <c r="C153" i="119" s="1"/>
  <c r="C206" i="119" s="1"/>
  <c r="C259" i="119" s="1"/>
  <c r="C312" i="119" s="1"/>
  <c r="C365" i="119" s="1"/>
  <c r="C418" i="119" s="1"/>
  <c r="B100" i="119"/>
  <c r="B153" i="119" s="1"/>
  <c r="B206" i="119" s="1"/>
  <c r="B259" i="119" s="1"/>
  <c r="B312" i="119" s="1"/>
  <c r="B365" i="119" s="1"/>
  <c r="B418" i="119" s="1"/>
  <c r="A100" i="119"/>
  <c r="A153" i="119" s="1"/>
  <c r="A206" i="119" s="1"/>
  <c r="A259" i="119" s="1"/>
  <c r="A312" i="119" s="1"/>
  <c r="A365" i="119" s="1"/>
  <c r="A418" i="119" s="1"/>
  <c r="M46" i="119"/>
  <c r="E99" i="119"/>
  <c r="E152" i="119" s="1"/>
  <c r="E205" i="119" s="1"/>
  <c r="E258" i="119" s="1"/>
  <c r="E311" i="119" s="1"/>
  <c r="E364" i="119" s="1"/>
  <c r="E417" i="119" s="1"/>
  <c r="D99" i="119"/>
  <c r="D152" i="119" s="1"/>
  <c r="D205" i="119" s="1"/>
  <c r="D258" i="119" s="1"/>
  <c r="D311" i="119" s="1"/>
  <c r="D364" i="119" s="1"/>
  <c r="D417" i="119" s="1"/>
  <c r="C99" i="119"/>
  <c r="C152" i="119" s="1"/>
  <c r="C205" i="119" s="1"/>
  <c r="C258" i="119" s="1"/>
  <c r="C311" i="119" s="1"/>
  <c r="C364" i="119" s="1"/>
  <c r="C417" i="119" s="1"/>
  <c r="B99" i="119"/>
  <c r="B152" i="119" s="1"/>
  <c r="B205" i="119" s="1"/>
  <c r="B258" i="119" s="1"/>
  <c r="B311" i="119" s="1"/>
  <c r="B364" i="119" s="1"/>
  <c r="B417" i="119" s="1"/>
  <c r="A99" i="119"/>
  <c r="A152" i="119" s="1"/>
  <c r="A205" i="119" s="1"/>
  <c r="A258" i="119" s="1"/>
  <c r="A311" i="119" s="1"/>
  <c r="A364" i="119" s="1"/>
  <c r="A417" i="119" s="1"/>
  <c r="M45" i="119"/>
  <c r="E98" i="119"/>
  <c r="E151" i="119" s="1"/>
  <c r="E204" i="119" s="1"/>
  <c r="E257" i="119" s="1"/>
  <c r="E310" i="119" s="1"/>
  <c r="E363" i="119" s="1"/>
  <c r="E416" i="119" s="1"/>
  <c r="D98" i="119"/>
  <c r="D151" i="119" s="1"/>
  <c r="D204" i="119" s="1"/>
  <c r="D257" i="119" s="1"/>
  <c r="D310" i="119" s="1"/>
  <c r="D363" i="119" s="1"/>
  <c r="D416" i="119" s="1"/>
  <c r="C98" i="119"/>
  <c r="C151" i="119" s="1"/>
  <c r="C204" i="119" s="1"/>
  <c r="C257" i="119" s="1"/>
  <c r="C310" i="119" s="1"/>
  <c r="C363" i="119" s="1"/>
  <c r="C416" i="119" s="1"/>
  <c r="B98" i="119"/>
  <c r="B151" i="119" s="1"/>
  <c r="B204" i="119" s="1"/>
  <c r="B257" i="119" s="1"/>
  <c r="B310" i="119" s="1"/>
  <c r="B363" i="119" s="1"/>
  <c r="B416" i="119" s="1"/>
  <c r="A98" i="119"/>
  <c r="A151" i="119" s="1"/>
  <c r="A204" i="119" s="1"/>
  <c r="A257" i="119" s="1"/>
  <c r="A310" i="119" s="1"/>
  <c r="A363" i="119" s="1"/>
  <c r="A416" i="119" s="1"/>
  <c r="M44" i="119"/>
  <c r="E97" i="119"/>
  <c r="E150" i="119" s="1"/>
  <c r="E203" i="119" s="1"/>
  <c r="E256" i="119" s="1"/>
  <c r="E309" i="119" s="1"/>
  <c r="E362" i="119" s="1"/>
  <c r="E415" i="119" s="1"/>
  <c r="D97" i="119"/>
  <c r="D150" i="119" s="1"/>
  <c r="D203" i="119" s="1"/>
  <c r="D256" i="119" s="1"/>
  <c r="D309" i="119" s="1"/>
  <c r="D362" i="119" s="1"/>
  <c r="D415" i="119" s="1"/>
  <c r="C97" i="119"/>
  <c r="C150" i="119" s="1"/>
  <c r="C203" i="119" s="1"/>
  <c r="C256" i="119" s="1"/>
  <c r="C309" i="119" s="1"/>
  <c r="C362" i="119" s="1"/>
  <c r="C415" i="119" s="1"/>
  <c r="B97" i="119"/>
  <c r="B150" i="119" s="1"/>
  <c r="B203" i="119" s="1"/>
  <c r="B256" i="119" s="1"/>
  <c r="B309" i="119" s="1"/>
  <c r="B362" i="119" s="1"/>
  <c r="B415" i="119" s="1"/>
  <c r="A97" i="119"/>
  <c r="A150" i="119" s="1"/>
  <c r="A203" i="119" s="1"/>
  <c r="A256" i="119" s="1"/>
  <c r="A309" i="119" s="1"/>
  <c r="A362" i="119" s="1"/>
  <c r="A415" i="119" s="1"/>
  <c r="M43" i="119"/>
  <c r="E96" i="119"/>
  <c r="E149" i="119" s="1"/>
  <c r="E202" i="119" s="1"/>
  <c r="E255" i="119" s="1"/>
  <c r="E308" i="119" s="1"/>
  <c r="E361" i="119" s="1"/>
  <c r="E414" i="119" s="1"/>
  <c r="D96" i="119"/>
  <c r="D149" i="119" s="1"/>
  <c r="D202" i="119" s="1"/>
  <c r="D255" i="119" s="1"/>
  <c r="D308" i="119" s="1"/>
  <c r="D361" i="119" s="1"/>
  <c r="D414" i="119" s="1"/>
  <c r="C96" i="119"/>
  <c r="C149" i="119" s="1"/>
  <c r="C202" i="119" s="1"/>
  <c r="C255" i="119" s="1"/>
  <c r="C308" i="119" s="1"/>
  <c r="C361" i="119" s="1"/>
  <c r="C414" i="119" s="1"/>
  <c r="B96" i="119"/>
  <c r="B149" i="119" s="1"/>
  <c r="B202" i="119" s="1"/>
  <c r="B255" i="119" s="1"/>
  <c r="B308" i="119" s="1"/>
  <c r="B361" i="119" s="1"/>
  <c r="B414" i="119" s="1"/>
  <c r="A96" i="119"/>
  <c r="A149" i="119" s="1"/>
  <c r="A202" i="119" s="1"/>
  <c r="A255" i="119" s="1"/>
  <c r="A308" i="119" s="1"/>
  <c r="A361" i="119" s="1"/>
  <c r="A414" i="119" s="1"/>
  <c r="M42" i="119"/>
  <c r="E95" i="119"/>
  <c r="E148" i="119" s="1"/>
  <c r="E201" i="119" s="1"/>
  <c r="E254" i="119" s="1"/>
  <c r="E307" i="119" s="1"/>
  <c r="E360" i="119" s="1"/>
  <c r="E413" i="119" s="1"/>
  <c r="D95" i="119"/>
  <c r="D148" i="119" s="1"/>
  <c r="D201" i="119" s="1"/>
  <c r="D254" i="119" s="1"/>
  <c r="D307" i="119" s="1"/>
  <c r="D360" i="119" s="1"/>
  <c r="D413" i="119" s="1"/>
  <c r="C95" i="119"/>
  <c r="C148" i="119" s="1"/>
  <c r="C201" i="119" s="1"/>
  <c r="C254" i="119" s="1"/>
  <c r="C307" i="119" s="1"/>
  <c r="C360" i="119" s="1"/>
  <c r="C413" i="119" s="1"/>
  <c r="B95" i="119"/>
  <c r="B148" i="119" s="1"/>
  <c r="B201" i="119" s="1"/>
  <c r="B254" i="119" s="1"/>
  <c r="B307" i="119" s="1"/>
  <c r="B360" i="119" s="1"/>
  <c r="B413" i="119" s="1"/>
  <c r="A95" i="119"/>
  <c r="A148" i="119" s="1"/>
  <c r="A201" i="119" s="1"/>
  <c r="A254" i="119" s="1"/>
  <c r="A307" i="119" s="1"/>
  <c r="A360" i="119" s="1"/>
  <c r="A413" i="119" s="1"/>
  <c r="M41" i="119"/>
  <c r="E94" i="119"/>
  <c r="E147" i="119" s="1"/>
  <c r="E200" i="119" s="1"/>
  <c r="E253" i="119" s="1"/>
  <c r="E306" i="119" s="1"/>
  <c r="E359" i="119" s="1"/>
  <c r="E412" i="119" s="1"/>
  <c r="D94" i="119"/>
  <c r="D147" i="119" s="1"/>
  <c r="D200" i="119" s="1"/>
  <c r="D253" i="119" s="1"/>
  <c r="D306" i="119" s="1"/>
  <c r="D359" i="119" s="1"/>
  <c r="D412" i="119" s="1"/>
  <c r="C94" i="119"/>
  <c r="C147" i="119" s="1"/>
  <c r="C200" i="119" s="1"/>
  <c r="C253" i="119" s="1"/>
  <c r="C306" i="119" s="1"/>
  <c r="C359" i="119" s="1"/>
  <c r="C412" i="119" s="1"/>
  <c r="B94" i="119"/>
  <c r="B147" i="119" s="1"/>
  <c r="B200" i="119" s="1"/>
  <c r="B253" i="119" s="1"/>
  <c r="B306" i="119" s="1"/>
  <c r="B359" i="119" s="1"/>
  <c r="B412" i="119" s="1"/>
  <c r="A94" i="119"/>
  <c r="A147" i="119" s="1"/>
  <c r="A200" i="119" s="1"/>
  <c r="A253" i="119" s="1"/>
  <c r="A306" i="119" s="1"/>
  <c r="A359" i="119" s="1"/>
  <c r="A412" i="119" s="1"/>
  <c r="M40" i="119"/>
  <c r="E93" i="119"/>
  <c r="E146" i="119" s="1"/>
  <c r="E199" i="119" s="1"/>
  <c r="E252" i="119" s="1"/>
  <c r="E305" i="119" s="1"/>
  <c r="E358" i="119" s="1"/>
  <c r="E411" i="119" s="1"/>
  <c r="D93" i="119"/>
  <c r="D146" i="119" s="1"/>
  <c r="D199" i="119" s="1"/>
  <c r="D252" i="119" s="1"/>
  <c r="D305" i="119" s="1"/>
  <c r="D358" i="119" s="1"/>
  <c r="D411" i="119" s="1"/>
  <c r="C93" i="119"/>
  <c r="C146" i="119" s="1"/>
  <c r="C199" i="119" s="1"/>
  <c r="C252" i="119" s="1"/>
  <c r="C305" i="119" s="1"/>
  <c r="C358" i="119" s="1"/>
  <c r="C411" i="119" s="1"/>
  <c r="B93" i="119"/>
  <c r="B146" i="119" s="1"/>
  <c r="B199" i="119" s="1"/>
  <c r="B252" i="119" s="1"/>
  <c r="B305" i="119" s="1"/>
  <c r="B358" i="119" s="1"/>
  <c r="B411" i="119" s="1"/>
  <c r="A93" i="119"/>
  <c r="A146" i="119" s="1"/>
  <c r="A199" i="119" s="1"/>
  <c r="A252" i="119" s="1"/>
  <c r="A305" i="119" s="1"/>
  <c r="A358" i="119" s="1"/>
  <c r="A411" i="119" s="1"/>
  <c r="M39" i="119"/>
  <c r="E92" i="119"/>
  <c r="E145" i="119" s="1"/>
  <c r="E198" i="119" s="1"/>
  <c r="E251" i="119" s="1"/>
  <c r="E304" i="119" s="1"/>
  <c r="E357" i="119" s="1"/>
  <c r="E410" i="119" s="1"/>
  <c r="D92" i="119"/>
  <c r="D145" i="119" s="1"/>
  <c r="D198" i="119" s="1"/>
  <c r="D251" i="119" s="1"/>
  <c r="D304" i="119" s="1"/>
  <c r="D357" i="119" s="1"/>
  <c r="D410" i="119" s="1"/>
  <c r="B92" i="119"/>
  <c r="B145" i="119" s="1"/>
  <c r="B198" i="119" s="1"/>
  <c r="B251" i="119" s="1"/>
  <c r="B304" i="119" s="1"/>
  <c r="B357" i="119" s="1"/>
  <c r="B410" i="119" s="1"/>
  <c r="A92" i="119"/>
  <c r="A145" i="119" s="1"/>
  <c r="A198" i="119" s="1"/>
  <c r="A251" i="119" s="1"/>
  <c r="A304" i="119" s="1"/>
  <c r="A357" i="119" s="1"/>
  <c r="A410" i="119" s="1"/>
  <c r="M38" i="119"/>
  <c r="E91" i="119"/>
  <c r="E144" i="119" s="1"/>
  <c r="E197" i="119" s="1"/>
  <c r="E250" i="119" s="1"/>
  <c r="E303" i="119" s="1"/>
  <c r="E356" i="119" s="1"/>
  <c r="E409" i="119" s="1"/>
  <c r="D91" i="119"/>
  <c r="D144" i="119" s="1"/>
  <c r="D197" i="119" s="1"/>
  <c r="D250" i="119" s="1"/>
  <c r="D303" i="119" s="1"/>
  <c r="D356" i="119" s="1"/>
  <c r="D409" i="119" s="1"/>
  <c r="A91" i="119"/>
  <c r="A144" i="119" s="1"/>
  <c r="A197" i="119" s="1"/>
  <c r="A250" i="119" s="1"/>
  <c r="A303" i="119" s="1"/>
  <c r="A356" i="119" s="1"/>
  <c r="A409" i="119" s="1"/>
  <c r="M37" i="119"/>
  <c r="E90" i="119"/>
  <c r="E143" i="119" s="1"/>
  <c r="E196" i="119" s="1"/>
  <c r="E249" i="119" s="1"/>
  <c r="E302" i="119" s="1"/>
  <c r="E355" i="119" s="1"/>
  <c r="E408" i="119" s="1"/>
  <c r="D90" i="119"/>
  <c r="D143" i="119" s="1"/>
  <c r="D196" i="119" s="1"/>
  <c r="D249" i="119" s="1"/>
  <c r="D302" i="119" s="1"/>
  <c r="D355" i="119" s="1"/>
  <c r="D408" i="119" s="1"/>
  <c r="B90" i="119"/>
  <c r="B143" i="119" s="1"/>
  <c r="B196" i="119" s="1"/>
  <c r="B249" i="119" s="1"/>
  <c r="B302" i="119" s="1"/>
  <c r="B355" i="119" s="1"/>
  <c r="B408" i="119" s="1"/>
  <c r="A90" i="119"/>
  <c r="A143" i="119" s="1"/>
  <c r="A196" i="119" s="1"/>
  <c r="A249" i="119" s="1"/>
  <c r="A302" i="119" s="1"/>
  <c r="A355" i="119" s="1"/>
  <c r="A408" i="119" s="1"/>
  <c r="M36" i="119"/>
  <c r="E89" i="119"/>
  <c r="E142" i="119" s="1"/>
  <c r="E195" i="119" s="1"/>
  <c r="E248" i="119" s="1"/>
  <c r="E301" i="119" s="1"/>
  <c r="E354" i="119" s="1"/>
  <c r="E407" i="119" s="1"/>
  <c r="D89" i="119"/>
  <c r="D142" i="119" s="1"/>
  <c r="D195" i="119" s="1"/>
  <c r="D248" i="119" s="1"/>
  <c r="D301" i="119" s="1"/>
  <c r="D354" i="119" s="1"/>
  <c r="D407" i="119" s="1"/>
  <c r="B89" i="119"/>
  <c r="B142" i="119" s="1"/>
  <c r="B195" i="119" s="1"/>
  <c r="B248" i="119" s="1"/>
  <c r="B301" i="119" s="1"/>
  <c r="B354" i="119" s="1"/>
  <c r="B407" i="119" s="1"/>
  <c r="A89" i="119"/>
  <c r="A142" i="119" s="1"/>
  <c r="A195" i="119" s="1"/>
  <c r="A248" i="119" s="1"/>
  <c r="A301" i="119" s="1"/>
  <c r="A354" i="119" s="1"/>
  <c r="A407" i="119" s="1"/>
  <c r="M35" i="119"/>
  <c r="E88" i="119"/>
  <c r="E141" i="119" s="1"/>
  <c r="E194" i="119" s="1"/>
  <c r="E247" i="119" s="1"/>
  <c r="E300" i="119" s="1"/>
  <c r="E353" i="119" s="1"/>
  <c r="E406" i="119" s="1"/>
  <c r="D88" i="119"/>
  <c r="D141" i="119" s="1"/>
  <c r="D194" i="119" s="1"/>
  <c r="D247" i="119" s="1"/>
  <c r="D300" i="119" s="1"/>
  <c r="D353" i="119" s="1"/>
  <c r="D406" i="119" s="1"/>
  <c r="B88" i="119"/>
  <c r="B141" i="119" s="1"/>
  <c r="B194" i="119" s="1"/>
  <c r="B247" i="119" s="1"/>
  <c r="B300" i="119" s="1"/>
  <c r="B353" i="119" s="1"/>
  <c r="B406" i="119" s="1"/>
  <c r="A88" i="119"/>
  <c r="A141" i="119" s="1"/>
  <c r="A194" i="119" s="1"/>
  <c r="A247" i="119" s="1"/>
  <c r="A300" i="119" s="1"/>
  <c r="A353" i="119" s="1"/>
  <c r="A406" i="119" s="1"/>
  <c r="M34" i="119"/>
  <c r="E87" i="119"/>
  <c r="E140" i="119" s="1"/>
  <c r="E193" i="119" s="1"/>
  <c r="E246" i="119" s="1"/>
  <c r="E299" i="119" s="1"/>
  <c r="E352" i="119" s="1"/>
  <c r="E405" i="119" s="1"/>
  <c r="D87" i="119"/>
  <c r="D140" i="119" s="1"/>
  <c r="D193" i="119" s="1"/>
  <c r="D246" i="119" s="1"/>
  <c r="D299" i="119" s="1"/>
  <c r="D352" i="119" s="1"/>
  <c r="D405" i="119" s="1"/>
  <c r="B87" i="119"/>
  <c r="B140" i="119" s="1"/>
  <c r="B193" i="119" s="1"/>
  <c r="B246" i="119" s="1"/>
  <c r="B299" i="119" s="1"/>
  <c r="B352" i="119" s="1"/>
  <c r="B405" i="119" s="1"/>
  <c r="A87" i="119"/>
  <c r="A140" i="119" s="1"/>
  <c r="A193" i="119" s="1"/>
  <c r="A246" i="119" s="1"/>
  <c r="A299" i="119" s="1"/>
  <c r="A352" i="119" s="1"/>
  <c r="A405" i="119" s="1"/>
  <c r="M33" i="119"/>
  <c r="E86" i="119"/>
  <c r="E139" i="119" s="1"/>
  <c r="E192" i="119" s="1"/>
  <c r="E245" i="119" s="1"/>
  <c r="E298" i="119" s="1"/>
  <c r="E351" i="119" s="1"/>
  <c r="E404" i="119" s="1"/>
  <c r="D86" i="119"/>
  <c r="D139" i="119" s="1"/>
  <c r="D192" i="119" s="1"/>
  <c r="D245" i="119" s="1"/>
  <c r="D298" i="119" s="1"/>
  <c r="D351" i="119" s="1"/>
  <c r="D404" i="119" s="1"/>
  <c r="C86" i="119"/>
  <c r="C139" i="119" s="1"/>
  <c r="C192" i="119" s="1"/>
  <c r="C245" i="119" s="1"/>
  <c r="C298" i="119" s="1"/>
  <c r="C351" i="119" s="1"/>
  <c r="C404" i="119" s="1"/>
  <c r="B86" i="119"/>
  <c r="B139" i="119" s="1"/>
  <c r="B192" i="119" s="1"/>
  <c r="B245" i="119" s="1"/>
  <c r="B298" i="119" s="1"/>
  <c r="B351" i="119" s="1"/>
  <c r="B404" i="119" s="1"/>
  <c r="A86" i="119"/>
  <c r="A139" i="119" s="1"/>
  <c r="A192" i="119" s="1"/>
  <c r="A245" i="119" s="1"/>
  <c r="A298" i="119" s="1"/>
  <c r="A351" i="119" s="1"/>
  <c r="A404" i="119" s="1"/>
  <c r="M32" i="119"/>
  <c r="E85" i="119"/>
  <c r="E138" i="119" s="1"/>
  <c r="E191" i="119" s="1"/>
  <c r="E244" i="119" s="1"/>
  <c r="E297" i="119" s="1"/>
  <c r="E350" i="119" s="1"/>
  <c r="E403" i="119" s="1"/>
  <c r="A85" i="119"/>
  <c r="A138" i="119" s="1"/>
  <c r="A191" i="119" s="1"/>
  <c r="A244" i="119" s="1"/>
  <c r="A297" i="119" s="1"/>
  <c r="A350" i="119" s="1"/>
  <c r="A403" i="119" s="1"/>
  <c r="M31" i="119"/>
  <c r="D84" i="119"/>
  <c r="D137" i="119" s="1"/>
  <c r="D190" i="119" s="1"/>
  <c r="D243" i="119" s="1"/>
  <c r="D296" i="119" s="1"/>
  <c r="D349" i="119" s="1"/>
  <c r="D402" i="119" s="1"/>
  <c r="C84" i="119"/>
  <c r="C137" i="119" s="1"/>
  <c r="C190" i="119" s="1"/>
  <c r="C243" i="119" s="1"/>
  <c r="C296" i="119" s="1"/>
  <c r="C349" i="119" s="1"/>
  <c r="C402" i="119" s="1"/>
  <c r="B84" i="119"/>
  <c r="B137" i="119" s="1"/>
  <c r="B190" i="119" s="1"/>
  <c r="B243" i="119" s="1"/>
  <c r="B296" i="119" s="1"/>
  <c r="B349" i="119" s="1"/>
  <c r="B402" i="119" s="1"/>
  <c r="A84" i="119"/>
  <c r="A137" i="119" s="1"/>
  <c r="A190" i="119" s="1"/>
  <c r="A243" i="119" s="1"/>
  <c r="A296" i="119" s="1"/>
  <c r="A349" i="119" s="1"/>
  <c r="A402" i="119" s="1"/>
  <c r="M30" i="119"/>
  <c r="E83" i="119"/>
  <c r="E136" i="119" s="1"/>
  <c r="E189" i="119" s="1"/>
  <c r="E242" i="119" s="1"/>
  <c r="E295" i="119" s="1"/>
  <c r="E348" i="119" s="1"/>
  <c r="E401" i="119" s="1"/>
  <c r="B83" i="119"/>
  <c r="B136" i="119" s="1"/>
  <c r="B189" i="119" s="1"/>
  <c r="B242" i="119" s="1"/>
  <c r="B295" i="119" s="1"/>
  <c r="B348" i="119" s="1"/>
  <c r="B401" i="119" s="1"/>
  <c r="A83" i="119"/>
  <c r="A136" i="119" s="1"/>
  <c r="A189" i="119" s="1"/>
  <c r="A242" i="119" s="1"/>
  <c r="A295" i="119" s="1"/>
  <c r="A348" i="119" s="1"/>
  <c r="A401" i="119" s="1"/>
  <c r="M29" i="119"/>
  <c r="E82" i="119"/>
  <c r="E135" i="119" s="1"/>
  <c r="E188" i="119" s="1"/>
  <c r="E241" i="119" s="1"/>
  <c r="E294" i="119" s="1"/>
  <c r="E347" i="119" s="1"/>
  <c r="E400" i="119" s="1"/>
  <c r="B82" i="119"/>
  <c r="B135" i="119" s="1"/>
  <c r="B188" i="119" s="1"/>
  <c r="B241" i="119" s="1"/>
  <c r="B294" i="119" s="1"/>
  <c r="B347" i="119" s="1"/>
  <c r="B400" i="119" s="1"/>
  <c r="A82" i="119"/>
  <c r="A135" i="119" s="1"/>
  <c r="A188" i="119" s="1"/>
  <c r="A241" i="119" s="1"/>
  <c r="A294" i="119" s="1"/>
  <c r="A347" i="119" s="1"/>
  <c r="A400" i="119" s="1"/>
  <c r="M28" i="119"/>
  <c r="E81" i="119"/>
  <c r="E134" i="119" s="1"/>
  <c r="E187" i="119" s="1"/>
  <c r="E240" i="119" s="1"/>
  <c r="E293" i="119" s="1"/>
  <c r="E346" i="119" s="1"/>
  <c r="E399" i="119" s="1"/>
  <c r="B81" i="119"/>
  <c r="B134" i="119" s="1"/>
  <c r="B187" i="119" s="1"/>
  <c r="B240" i="119" s="1"/>
  <c r="B293" i="119" s="1"/>
  <c r="B346" i="119" s="1"/>
  <c r="B399" i="119" s="1"/>
  <c r="A81" i="119"/>
  <c r="A134" i="119" s="1"/>
  <c r="A187" i="119" s="1"/>
  <c r="A240" i="119" s="1"/>
  <c r="A293" i="119" s="1"/>
  <c r="A346" i="119" s="1"/>
  <c r="A399" i="119" s="1"/>
  <c r="M27" i="119"/>
  <c r="E80" i="119"/>
  <c r="E133" i="119" s="1"/>
  <c r="E186" i="119" s="1"/>
  <c r="E239" i="119" s="1"/>
  <c r="E292" i="119" s="1"/>
  <c r="E345" i="119" s="1"/>
  <c r="E398" i="119" s="1"/>
  <c r="B80" i="119"/>
  <c r="B133" i="119" s="1"/>
  <c r="B186" i="119" s="1"/>
  <c r="B239" i="119" s="1"/>
  <c r="B292" i="119" s="1"/>
  <c r="B345" i="119" s="1"/>
  <c r="B398" i="119" s="1"/>
  <c r="A80" i="119"/>
  <c r="A133" i="119" s="1"/>
  <c r="A186" i="119" s="1"/>
  <c r="A239" i="119" s="1"/>
  <c r="A292" i="119" s="1"/>
  <c r="A345" i="119" s="1"/>
  <c r="A398" i="119" s="1"/>
  <c r="M26" i="119"/>
  <c r="E79" i="119"/>
  <c r="E132" i="119" s="1"/>
  <c r="E185" i="119" s="1"/>
  <c r="E238" i="119" s="1"/>
  <c r="E291" i="119" s="1"/>
  <c r="E344" i="119" s="1"/>
  <c r="E397" i="119" s="1"/>
  <c r="B79" i="119"/>
  <c r="B132" i="119" s="1"/>
  <c r="B185" i="119" s="1"/>
  <c r="B238" i="119" s="1"/>
  <c r="B291" i="119" s="1"/>
  <c r="B344" i="119" s="1"/>
  <c r="B397" i="119" s="1"/>
  <c r="A79" i="119"/>
  <c r="A132" i="119" s="1"/>
  <c r="A185" i="119" s="1"/>
  <c r="A238" i="119" s="1"/>
  <c r="A291" i="119" s="1"/>
  <c r="A344" i="119" s="1"/>
  <c r="A397" i="119" s="1"/>
  <c r="M25" i="119"/>
  <c r="E78" i="119"/>
  <c r="E131" i="119" s="1"/>
  <c r="E184" i="119" s="1"/>
  <c r="E237" i="119" s="1"/>
  <c r="E290" i="119" s="1"/>
  <c r="E343" i="119" s="1"/>
  <c r="E396" i="119" s="1"/>
  <c r="B78" i="119"/>
  <c r="B131" i="119" s="1"/>
  <c r="B184" i="119" s="1"/>
  <c r="B237" i="119" s="1"/>
  <c r="B290" i="119" s="1"/>
  <c r="B343" i="119" s="1"/>
  <c r="B396" i="119" s="1"/>
  <c r="A78" i="119"/>
  <c r="A131" i="119" s="1"/>
  <c r="A184" i="119" s="1"/>
  <c r="A237" i="119" s="1"/>
  <c r="A290" i="119" s="1"/>
  <c r="A343" i="119" s="1"/>
  <c r="A396" i="119" s="1"/>
  <c r="M24" i="119"/>
  <c r="D77" i="119"/>
  <c r="D130" i="119" s="1"/>
  <c r="D183" i="119" s="1"/>
  <c r="D236" i="119" s="1"/>
  <c r="D289" i="119" s="1"/>
  <c r="D342" i="119" s="1"/>
  <c r="D395" i="119" s="1"/>
  <c r="C77" i="119"/>
  <c r="C130" i="119" s="1"/>
  <c r="C183" i="119" s="1"/>
  <c r="C236" i="119" s="1"/>
  <c r="C289" i="119" s="1"/>
  <c r="C342" i="119" s="1"/>
  <c r="C395" i="119" s="1"/>
  <c r="B77" i="119"/>
  <c r="B130" i="119" s="1"/>
  <c r="B183" i="119" s="1"/>
  <c r="B236" i="119" s="1"/>
  <c r="B289" i="119" s="1"/>
  <c r="B342" i="119" s="1"/>
  <c r="B395" i="119" s="1"/>
  <c r="A77" i="119"/>
  <c r="A130" i="119" s="1"/>
  <c r="A183" i="119" s="1"/>
  <c r="A236" i="119" s="1"/>
  <c r="A289" i="119" s="1"/>
  <c r="A342" i="119" s="1"/>
  <c r="A395" i="119" s="1"/>
  <c r="M23" i="119"/>
  <c r="E76" i="119"/>
  <c r="E129" i="119" s="1"/>
  <c r="E182" i="119" s="1"/>
  <c r="E235" i="119" s="1"/>
  <c r="E288" i="119" s="1"/>
  <c r="E341" i="119" s="1"/>
  <c r="E394" i="119" s="1"/>
  <c r="B76" i="119"/>
  <c r="B129" i="119" s="1"/>
  <c r="B182" i="119" s="1"/>
  <c r="B235" i="119" s="1"/>
  <c r="B288" i="119" s="1"/>
  <c r="B341" i="119" s="1"/>
  <c r="B394" i="119" s="1"/>
  <c r="A76" i="119"/>
  <c r="A129" i="119" s="1"/>
  <c r="A182" i="119" s="1"/>
  <c r="A235" i="119" s="1"/>
  <c r="A288" i="119" s="1"/>
  <c r="A341" i="119" s="1"/>
  <c r="A394" i="119" s="1"/>
  <c r="M22" i="119"/>
  <c r="E75" i="119"/>
  <c r="E128" i="119" s="1"/>
  <c r="E181" i="119" s="1"/>
  <c r="E234" i="119" s="1"/>
  <c r="E287" i="119" s="1"/>
  <c r="E340" i="119" s="1"/>
  <c r="E393" i="119" s="1"/>
  <c r="B75" i="119"/>
  <c r="B128" i="119" s="1"/>
  <c r="B181" i="119" s="1"/>
  <c r="B234" i="119" s="1"/>
  <c r="B287" i="119" s="1"/>
  <c r="B340" i="119" s="1"/>
  <c r="B393" i="119" s="1"/>
  <c r="A75" i="119"/>
  <c r="A128" i="119" s="1"/>
  <c r="A181" i="119" s="1"/>
  <c r="A234" i="119" s="1"/>
  <c r="A287" i="119" s="1"/>
  <c r="A340" i="119" s="1"/>
  <c r="A393" i="119" s="1"/>
  <c r="M21" i="119"/>
  <c r="E74" i="119"/>
  <c r="E127" i="119" s="1"/>
  <c r="E180" i="119" s="1"/>
  <c r="E233" i="119" s="1"/>
  <c r="E286" i="119" s="1"/>
  <c r="E339" i="119" s="1"/>
  <c r="E392" i="119" s="1"/>
  <c r="B74" i="119"/>
  <c r="B127" i="119" s="1"/>
  <c r="B180" i="119" s="1"/>
  <c r="B233" i="119" s="1"/>
  <c r="B286" i="119" s="1"/>
  <c r="B339" i="119" s="1"/>
  <c r="B392" i="119" s="1"/>
  <c r="M20" i="119"/>
  <c r="E73" i="119"/>
  <c r="E126" i="119" s="1"/>
  <c r="E179" i="119" s="1"/>
  <c r="E232" i="119" s="1"/>
  <c r="E285" i="119" s="1"/>
  <c r="E338" i="119" s="1"/>
  <c r="E391" i="119" s="1"/>
  <c r="B73" i="119"/>
  <c r="B126" i="119" s="1"/>
  <c r="B179" i="119" s="1"/>
  <c r="B232" i="119" s="1"/>
  <c r="B285" i="119" s="1"/>
  <c r="B338" i="119" s="1"/>
  <c r="B391" i="119" s="1"/>
  <c r="A73" i="119"/>
  <c r="A126" i="119" s="1"/>
  <c r="A179" i="119" s="1"/>
  <c r="A232" i="119" s="1"/>
  <c r="A285" i="119" s="1"/>
  <c r="A338" i="119" s="1"/>
  <c r="A391" i="119" s="1"/>
  <c r="M19" i="119"/>
  <c r="D72" i="119"/>
  <c r="D125" i="119" s="1"/>
  <c r="D178" i="119" s="1"/>
  <c r="D231" i="119" s="1"/>
  <c r="D284" i="119" s="1"/>
  <c r="D337" i="119" s="1"/>
  <c r="D390" i="119" s="1"/>
  <c r="C72" i="119"/>
  <c r="C125" i="119" s="1"/>
  <c r="C178" i="119" s="1"/>
  <c r="C231" i="119" s="1"/>
  <c r="C284" i="119" s="1"/>
  <c r="C337" i="119" s="1"/>
  <c r="C390" i="119" s="1"/>
  <c r="B72" i="119"/>
  <c r="B125" i="119" s="1"/>
  <c r="B178" i="119" s="1"/>
  <c r="B231" i="119" s="1"/>
  <c r="B284" i="119" s="1"/>
  <c r="B337" i="119" s="1"/>
  <c r="B390" i="119" s="1"/>
  <c r="A72" i="119"/>
  <c r="A125" i="119" s="1"/>
  <c r="A178" i="119" s="1"/>
  <c r="A231" i="119" s="1"/>
  <c r="A284" i="119" s="1"/>
  <c r="A337" i="119" s="1"/>
  <c r="A390" i="119" s="1"/>
  <c r="M18" i="119"/>
  <c r="E71" i="119"/>
  <c r="E124" i="119" s="1"/>
  <c r="E177" i="119" s="1"/>
  <c r="E230" i="119" s="1"/>
  <c r="E283" i="119" s="1"/>
  <c r="E336" i="119" s="1"/>
  <c r="E389" i="119" s="1"/>
  <c r="B71" i="119"/>
  <c r="B124" i="119" s="1"/>
  <c r="B177" i="119" s="1"/>
  <c r="B230" i="119" s="1"/>
  <c r="B283" i="119" s="1"/>
  <c r="B336" i="119" s="1"/>
  <c r="B389" i="119" s="1"/>
  <c r="A71" i="119"/>
  <c r="A124" i="119" s="1"/>
  <c r="A177" i="119" s="1"/>
  <c r="A230" i="119" s="1"/>
  <c r="A283" i="119" s="1"/>
  <c r="A336" i="119" s="1"/>
  <c r="A389" i="119" s="1"/>
  <c r="M17" i="119"/>
  <c r="E70" i="119"/>
  <c r="E123" i="119" s="1"/>
  <c r="E176" i="119" s="1"/>
  <c r="E229" i="119" s="1"/>
  <c r="E282" i="119" s="1"/>
  <c r="E335" i="119" s="1"/>
  <c r="E388" i="119" s="1"/>
  <c r="B70" i="119"/>
  <c r="B123" i="119" s="1"/>
  <c r="B176" i="119" s="1"/>
  <c r="B229" i="119" s="1"/>
  <c r="B282" i="119" s="1"/>
  <c r="B335" i="119" s="1"/>
  <c r="B388" i="119" s="1"/>
  <c r="A70" i="119"/>
  <c r="A123" i="119" s="1"/>
  <c r="A176" i="119" s="1"/>
  <c r="A229" i="119" s="1"/>
  <c r="A282" i="119" s="1"/>
  <c r="A335" i="119" s="1"/>
  <c r="A388" i="119" s="1"/>
  <c r="M16" i="119"/>
  <c r="O16" i="119" s="1"/>
  <c r="P16" i="119" s="1"/>
  <c r="E69" i="119"/>
  <c r="E122" i="119" s="1"/>
  <c r="E175" i="119" s="1"/>
  <c r="E228" i="119" s="1"/>
  <c r="E281" i="119" s="1"/>
  <c r="E334" i="119" s="1"/>
  <c r="E387" i="119" s="1"/>
  <c r="B69" i="119"/>
  <c r="B122" i="119" s="1"/>
  <c r="B175" i="119" s="1"/>
  <c r="B228" i="119" s="1"/>
  <c r="B281" i="119" s="1"/>
  <c r="B334" i="119" s="1"/>
  <c r="B387" i="119" s="1"/>
  <c r="A69" i="119"/>
  <c r="A122" i="119" s="1"/>
  <c r="A175" i="119" s="1"/>
  <c r="A228" i="119" s="1"/>
  <c r="A281" i="119" s="1"/>
  <c r="A334" i="119" s="1"/>
  <c r="A387" i="119" s="1"/>
  <c r="M15" i="119"/>
  <c r="E68" i="119"/>
  <c r="E121" i="119" s="1"/>
  <c r="E174" i="119" s="1"/>
  <c r="E227" i="119" s="1"/>
  <c r="E280" i="119" s="1"/>
  <c r="E333" i="119" s="1"/>
  <c r="E386" i="119" s="1"/>
  <c r="A68" i="119"/>
  <c r="A121" i="119" s="1"/>
  <c r="A174" i="119" s="1"/>
  <c r="A227" i="119" s="1"/>
  <c r="A280" i="119" s="1"/>
  <c r="A333" i="119" s="1"/>
  <c r="A386" i="119" s="1"/>
  <c r="M14" i="119"/>
  <c r="D67" i="119"/>
  <c r="D120" i="119" s="1"/>
  <c r="D173" i="119" s="1"/>
  <c r="D226" i="119" s="1"/>
  <c r="D279" i="119" s="1"/>
  <c r="D332" i="119" s="1"/>
  <c r="D385" i="119" s="1"/>
  <c r="B67" i="119"/>
  <c r="B120" i="119" s="1"/>
  <c r="B173" i="119" s="1"/>
  <c r="B226" i="119" s="1"/>
  <c r="B279" i="119" s="1"/>
  <c r="B332" i="119" s="1"/>
  <c r="B385" i="119" s="1"/>
  <c r="A67" i="119"/>
  <c r="A120" i="119" s="1"/>
  <c r="A173" i="119" s="1"/>
  <c r="A226" i="119" s="1"/>
  <c r="A279" i="119" s="1"/>
  <c r="A332" i="119" s="1"/>
  <c r="A385" i="119" s="1"/>
  <c r="M13" i="119"/>
  <c r="E66" i="119"/>
  <c r="E119" i="119" s="1"/>
  <c r="E172" i="119" s="1"/>
  <c r="E225" i="119" s="1"/>
  <c r="E278" i="119" s="1"/>
  <c r="E331" i="119" s="1"/>
  <c r="E384" i="119" s="1"/>
  <c r="B66" i="119"/>
  <c r="B119" i="119" s="1"/>
  <c r="B172" i="119" s="1"/>
  <c r="B225" i="119" s="1"/>
  <c r="B278" i="119" s="1"/>
  <c r="B331" i="119" s="1"/>
  <c r="B384" i="119" s="1"/>
  <c r="A66" i="119"/>
  <c r="A119" i="119" s="1"/>
  <c r="A172" i="119" s="1"/>
  <c r="A225" i="119" s="1"/>
  <c r="A278" i="119" s="1"/>
  <c r="A331" i="119" s="1"/>
  <c r="A384" i="119" s="1"/>
  <c r="M12" i="119"/>
  <c r="E65" i="119"/>
  <c r="E118" i="119" s="1"/>
  <c r="E171" i="119" s="1"/>
  <c r="E224" i="119" s="1"/>
  <c r="E277" i="119" s="1"/>
  <c r="E330" i="119" s="1"/>
  <c r="E383" i="119" s="1"/>
  <c r="B65" i="119"/>
  <c r="B118" i="119" s="1"/>
  <c r="B171" i="119" s="1"/>
  <c r="B224" i="119" s="1"/>
  <c r="B277" i="119" s="1"/>
  <c r="B330" i="119" s="1"/>
  <c r="B383" i="119" s="1"/>
  <c r="A65" i="119"/>
  <c r="A118" i="119" s="1"/>
  <c r="A171" i="119" s="1"/>
  <c r="A224" i="119" s="1"/>
  <c r="A277" i="119" s="1"/>
  <c r="A330" i="119" s="1"/>
  <c r="A383" i="119" s="1"/>
  <c r="M11" i="119"/>
  <c r="E64" i="119"/>
  <c r="E117" i="119" s="1"/>
  <c r="E170" i="119" s="1"/>
  <c r="E223" i="119" s="1"/>
  <c r="E276" i="119" s="1"/>
  <c r="E329" i="119" s="1"/>
  <c r="E382" i="119" s="1"/>
  <c r="M10" i="119"/>
  <c r="D63" i="119"/>
  <c r="D116" i="119" s="1"/>
  <c r="D169" i="119" s="1"/>
  <c r="D222" i="119" s="1"/>
  <c r="D275" i="119" s="1"/>
  <c r="D328" i="119" s="1"/>
  <c r="D381" i="119" s="1"/>
  <c r="C63" i="119"/>
  <c r="C116" i="119" s="1"/>
  <c r="C169" i="119" s="1"/>
  <c r="C222" i="119" s="1"/>
  <c r="C275" i="119" s="1"/>
  <c r="C328" i="119" s="1"/>
  <c r="C381" i="119" s="1"/>
  <c r="B63" i="119"/>
  <c r="B116" i="119" s="1"/>
  <c r="B169" i="119" s="1"/>
  <c r="B222" i="119" s="1"/>
  <c r="B275" i="119" s="1"/>
  <c r="B328" i="119" s="1"/>
  <c r="B381" i="119" s="1"/>
  <c r="A63" i="119"/>
  <c r="A116" i="119" s="1"/>
  <c r="A169" i="119" s="1"/>
  <c r="A222" i="119" s="1"/>
  <c r="A275" i="119" s="1"/>
  <c r="A328" i="119" s="1"/>
  <c r="A381" i="119" s="1"/>
  <c r="B62" i="119"/>
  <c r="B115" i="119" s="1"/>
  <c r="B168" i="119" s="1"/>
  <c r="B221" i="119" s="1"/>
  <c r="B274" i="119" s="1"/>
  <c r="B327" i="119" s="1"/>
  <c r="B380" i="119" s="1"/>
  <c r="S40" i="120"/>
  <c r="G40" i="120"/>
  <c r="S39" i="120"/>
  <c r="G39" i="120"/>
  <c r="G38" i="120"/>
  <c r="S38" i="120"/>
  <c r="S37" i="120"/>
  <c r="G37" i="120"/>
  <c r="S36" i="120"/>
  <c r="G36" i="120"/>
  <c r="S35" i="120"/>
  <c r="G35" i="120"/>
  <c r="G34" i="120"/>
  <c r="S34" i="120"/>
  <c r="S33" i="120"/>
  <c r="G33" i="120"/>
  <c r="S32" i="120"/>
  <c r="G32" i="120"/>
  <c r="G31" i="120"/>
  <c r="S31" i="120"/>
  <c r="S30" i="120"/>
  <c r="G30" i="120"/>
  <c r="S29" i="120"/>
  <c r="G29" i="120"/>
  <c r="G28" i="120"/>
  <c r="S28" i="120"/>
  <c r="S27" i="120"/>
  <c r="G27" i="120"/>
  <c r="S26" i="120"/>
  <c r="G26" i="120"/>
  <c r="G25" i="120"/>
  <c r="S25" i="120"/>
  <c r="S24" i="120"/>
  <c r="G24" i="120"/>
  <c r="S23" i="120"/>
  <c r="G23" i="120"/>
  <c r="G22" i="120"/>
  <c r="S22" i="120"/>
  <c r="S21" i="120"/>
  <c r="G21" i="120"/>
  <c r="S20" i="120"/>
  <c r="G20" i="120"/>
  <c r="S19" i="120"/>
  <c r="G19" i="120"/>
  <c r="G18" i="120"/>
  <c r="S17" i="120"/>
  <c r="G17" i="120"/>
  <c r="S16" i="120"/>
  <c r="G16" i="120"/>
  <c r="S15" i="120"/>
  <c r="G15" i="120"/>
  <c r="G14" i="120"/>
  <c r="S14" i="120"/>
  <c r="S13" i="120"/>
  <c r="G13" i="120"/>
  <c r="S12" i="120"/>
  <c r="G12" i="120"/>
  <c r="G11" i="120"/>
  <c r="S11" i="120"/>
  <c r="S10" i="120"/>
  <c r="G10" i="120"/>
  <c r="AT106" i="121"/>
  <c r="AS106" i="121"/>
  <c r="AY103" i="121"/>
  <c r="AX103" i="121"/>
  <c r="AW103" i="121"/>
  <c r="AV103" i="121"/>
  <c r="AU103" i="121"/>
  <c r="AT103" i="121"/>
  <c r="AS103" i="121"/>
  <c r="AP103" i="121"/>
  <c r="AO103" i="121"/>
  <c r="AN103" i="121"/>
  <c r="AM103" i="121"/>
  <c r="AA103" i="121"/>
  <c r="Z103" i="121"/>
  <c r="Y103" i="121"/>
  <c r="X103" i="121"/>
  <c r="W103" i="121"/>
  <c r="U103" i="121"/>
  <c r="S103" i="121"/>
  <c r="R103" i="121"/>
  <c r="Q103" i="121"/>
  <c r="P103" i="121"/>
  <c r="AQ102" i="121"/>
  <c r="T102" i="121"/>
  <c r="AQ101" i="121"/>
  <c r="V101" i="121"/>
  <c r="V103" i="121" s="1"/>
  <c r="T101" i="121"/>
  <c r="AQ100" i="121"/>
  <c r="AN100" i="121"/>
  <c r="T100" i="121"/>
  <c r="AR99" i="121"/>
  <c r="AR106" i="121" s="1"/>
  <c r="AQ99" i="121"/>
  <c r="T99" i="121"/>
  <c r="AQ98" i="121"/>
  <c r="T98" i="121"/>
  <c r="AQ97" i="121"/>
  <c r="T97" i="121"/>
  <c r="AQ96" i="121"/>
  <c r="T96" i="121"/>
  <c r="AQ95" i="121"/>
  <c r="T95" i="121"/>
  <c r="AQ94" i="121"/>
  <c r="T94" i="121"/>
  <c r="AQ93" i="121"/>
  <c r="T93" i="121"/>
  <c r="AQ92" i="121"/>
  <c r="T92" i="121"/>
  <c r="AQ91" i="121"/>
  <c r="T91" i="121"/>
  <c r="AQ90" i="121"/>
  <c r="T90" i="121"/>
  <c r="AQ89" i="121"/>
  <c r="T89" i="121"/>
  <c r="AQ88" i="121"/>
  <c r="T88" i="121"/>
  <c r="AQ87" i="121"/>
  <c r="T87" i="121"/>
  <c r="AQ86" i="121"/>
  <c r="T86" i="121"/>
  <c r="AQ85" i="121"/>
  <c r="T85" i="121"/>
  <c r="AQ84" i="121"/>
  <c r="T84" i="121"/>
  <c r="AQ83" i="121"/>
  <c r="T83" i="121"/>
  <c r="AQ82" i="121"/>
  <c r="T82" i="121"/>
  <c r="AQ81" i="121"/>
  <c r="T81" i="121"/>
  <c r="AQ80" i="121"/>
  <c r="T80" i="121"/>
  <c r="AQ79" i="121"/>
  <c r="T79" i="121"/>
  <c r="AQ78" i="121"/>
  <c r="T78" i="121"/>
  <c r="AQ77" i="121"/>
  <c r="T77" i="121"/>
  <c r="AQ76" i="121"/>
  <c r="T76" i="121"/>
  <c r="AQ75" i="121"/>
  <c r="T75" i="121"/>
  <c r="AQ74" i="121"/>
  <c r="T74" i="121"/>
  <c r="AQ73" i="121"/>
  <c r="T73" i="121"/>
  <c r="AQ72" i="121"/>
  <c r="T72" i="121"/>
  <c r="AQ71" i="121"/>
  <c r="T71" i="121"/>
  <c r="AQ70" i="121"/>
  <c r="T70" i="121"/>
  <c r="AQ69" i="121"/>
  <c r="T69" i="121"/>
  <c r="AQ68" i="121"/>
  <c r="T68" i="121"/>
  <c r="AQ67" i="121"/>
  <c r="T67" i="121"/>
  <c r="AQ66" i="121"/>
  <c r="T66" i="121"/>
  <c r="AQ65" i="121"/>
  <c r="T65" i="121"/>
  <c r="AQ64" i="121"/>
  <c r="T64" i="121"/>
  <c r="AQ63" i="121"/>
  <c r="T63" i="121"/>
  <c r="AQ62" i="121"/>
  <c r="T62" i="121"/>
  <c r="AQ61" i="121"/>
  <c r="T61" i="121"/>
  <c r="AQ60" i="121"/>
  <c r="T60" i="121"/>
  <c r="AQ59" i="121"/>
  <c r="T59" i="121"/>
  <c r="AQ58" i="121"/>
  <c r="T58" i="121"/>
  <c r="AQ57" i="121"/>
  <c r="T57" i="121"/>
  <c r="AQ56" i="121"/>
  <c r="T56" i="121"/>
  <c r="AQ55" i="121"/>
  <c r="T55" i="121"/>
  <c r="AQ54" i="121"/>
  <c r="T54" i="121"/>
  <c r="AQ53" i="121"/>
  <c r="T53" i="121"/>
  <c r="AQ52" i="121"/>
  <c r="T52" i="121"/>
  <c r="AQ51" i="121"/>
  <c r="T51" i="121"/>
  <c r="AQ50" i="121"/>
  <c r="T50" i="121"/>
  <c r="AQ49" i="121"/>
  <c r="T49" i="121"/>
  <c r="AQ48" i="121"/>
  <c r="T48" i="121"/>
  <c r="AQ47" i="121"/>
  <c r="T47" i="121"/>
  <c r="AQ46" i="121"/>
  <c r="T46" i="121"/>
  <c r="AQ45" i="121"/>
  <c r="T45" i="121"/>
  <c r="AQ44" i="121"/>
  <c r="T44" i="121"/>
  <c r="AQ43" i="121"/>
  <c r="T43" i="121"/>
  <c r="AQ42" i="121"/>
  <c r="T42" i="121"/>
  <c r="AQ41" i="121"/>
  <c r="T41" i="121"/>
  <c r="AQ40" i="121"/>
  <c r="T40" i="121"/>
  <c r="AQ39" i="121"/>
  <c r="T39" i="121"/>
  <c r="AQ38" i="121"/>
  <c r="T38" i="121"/>
  <c r="AQ37" i="121"/>
  <c r="T37" i="121"/>
  <c r="AQ36" i="121"/>
  <c r="T36" i="121"/>
  <c r="AQ35" i="121"/>
  <c r="T35" i="121"/>
  <c r="AQ34" i="121"/>
  <c r="T34" i="121"/>
  <c r="AQ33" i="121"/>
  <c r="T33" i="121"/>
  <c r="AQ32" i="121"/>
  <c r="T32" i="121"/>
  <c r="F32" i="121"/>
  <c r="F33" i="121" s="1"/>
  <c r="F34" i="121" s="1"/>
  <c r="F35" i="121" s="1"/>
  <c r="F36" i="121" s="1"/>
  <c r="F37" i="121" s="1"/>
  <c r="F38" i="121" s="1"/>
  <c r="F39" i="121" s="1"/>
  <c r="F40" i="121" s="1"/>
  <c r="K40" i="121" s="1"/>
  <c r="E32" i="121"/>
  <c r="E33" i="121" s="1"/>
  <c r="E34" i="121" s="1"/>
  <c r="E35" i="121" s="1"/>
  <c r="E36" i="121" s="1"/>
  <c r="E37" i="121" s="1"/>
  <c r="E38" i="121" s="1"/>
  <c r="E39" i="121" s="1"/>
  <c r="E40" i="121" s="1"/>
  <c r="AQ31" i="121"/>
  <c r="T31" i="121"/>
  <c r="F31" i="121"/>
  <c r="E31" i="121"/>
  <c r="D31" i="121"/>
  <c r="D32" i="121" s="1"/>
  <c r="D33" i="121" s="1"/>
  <c r="D34" i="121" s="1"/>
  <c r="D35" i="121" s="1"/>
  <c r="D36" i="121" s="1"/>
  <c r="D37" i="121" s="1"/>
  <c r="D38" i="121" s="1"/>
  <c r="D39" i="121" s="1"/>
  <c r="D40" i="121" s="1"/>
  <c r="AQ30" i="121"/>
  <c r="T30" i="121"/>
  <c r="F30" i="121"/>
  <c r="E30" i="121"/>
  <c r="D30" i="121"/>
  <c r="AQ29" i="121"/>
  <c r="T29" i="121"/>
  <c r="H29" i="121"/>
  <c r="G29" i="121"/>
  <c r="AQ28" i="121"/>
  <c r="T28" i="121"/>
  <c r="F28" i="121"/>
  <c r="E28" i="121"/>
  <c r="D28" i="121"/>
  <c r="AQ27" i="121"/>
  <c r="T27" i="121"/>
  <c r="H27" i="121"/>
  <c r="G27" i="121"/>
  <c r="AQ26" i="121"/>
  <c r="T26" i="121"/>
  <c r="AQ25" i="121"/>
  <c r="T25" i="121"/>
  <c r="F25" i="121"/>
  <c r="F26" i="121" s="1"/>
  <c r="AQ24" i="121"/>
  <c r="T24" i="121"/>
  <c r="F24" i="121"/>
  <c r="E24" i="121"/>
  <c r="E25" i="121" s="1"/>
  <c r="E26" i="121" s="1"/>
  <c r="D24" i="121"/>
  <c r="D25" i="121" s="1"/>
  <c r="D26" i="121" s="1"/>
  <c r="AQ23" i="121"/>
  <c r="AN23" i="121"/>
  <c r="T23" i="121"/>
  <c r="F23" i="121"/>
  <c r="E23" i="121"/>
  <c r="D23" i="121"/>
  <c r="AQ22" i="121"/>
  <c r="T22" i="121"/>
  <c r="H22" i="121"/>
  <c r="G22" i="121"/>
  <c r="AQ21" i="121"/>
  <c r="T21" i="121"/>
  <c r="AQ20" i="121"/>
  <c r="T20" i="121"/>
  <c r="AQ19" i="121"/>
  <c r="T19" i="121"/>
  <c r="AQ18" i="121"/>
  <c r="T18" i="121"/>
  <c r="AQ17" i="121"/>
  <c r="T17" i="121"/>
  <c r="AQ16" i="121"/>
  <c r="T16" i="121"/>
  <c r="AQ15" i="121"/>
  <c r="T15" i="121"/>
  <c r="F15" i="121"/>
  <c r="F18" i="121" s="1"/>
  <c r="E15" i="121"/>
  <c r="E18" i="121" s="1"/>
  <c r="D15" i="121"/>
  <c r="D18" i="121" s="1"/>
  <c r="AQ14" i="121"/>
  <c r="T14" i="121"/>
  <c r="H14" i="121"/>
  <c r="G14" i="121"/>
  <c r="AQ13" i="121"/>
  <c r="T13" i="121"/>
  <c r="AQ12" i="121"/>
  <c r="T12" i="121"/>
  <c r="T103" i="121" s="1"/>
  <c r="AQ11" i="121"/>
  <c r="AQ103" i="121" s="1"/>
  <c r="T11" i="121"/>
  <c r="F11" i="121"/>
  <c r="F12" i="121" s="1"/>
  <c r="F13" i="121" s="1"/>
  <c r="E11" i="121"/>
  <c r="E12" i="121" s="1"/>
  <c r="E13" i="121" s="1"/>
  <c r="D11" i="121"/>
  <c r="D12" i="121" s="1"/>
  <c r="D13" i="121" s="1"/>
  <c r="AQ10" i="121"/>
  <c r="T10" i="121"/>
  <c r="H10" i="121"/>
  <c r="G10" i="121"/>
  <c r="L691" i="122"/>
  <c r="K691" i="122"/>
  <c r="M690" i="122"/>
  <c r="M689" i="122"/>
  <c r="M688" i="122"/>
  <c r="M687" i="122"/>
  <c r="M686" i="122"/>
  <c r="M685" i="122"/>
  <c r="M684" i="122"/>
  <c r="M683" i="122"/>
  <c r="M682" i="122"/>
  <c r="M681" i="122"/>
  <c r="M680" i="122"/>
  <c r="M679" i="122"/>
  <c r="M678" i="122"/>
  <c r="M677" i="122"/>
  <c r="M676" i="122"/>
  <c r="M675" i="122"/>
  <c r="M674" i="122"/>
  <c r="M673" i="122"/>
  <c r="M672" i="122"/>
  <c r="M671" i="122"/>
  <c r="M670" i="122"/>
  <c r="M669" i="122"/>
  <c r="M668" i="122"/>
  <c r="M667" i="122"/>
  <c r="M666" i="122"/>
  <c r="M665" i="122"/>
  <c r="M664" i="122"/>
  <c r="M663" i="122"/>
  <c r="M662" i="122"/>
  <c r="M661" i="122"/>
  <c r="M660" i="122"/>
  <c r="M659" i="122"/>
  <c r="M658" i="122"/>
  <c r="M657" i="122"/>
  <c r="M656" i="122"/>
  <c r="M655" i="122"/>
  <c r="M654" i="122"/>
  <c r="M653" i="122"/>
  <c r="M652" i="122"/>
  <c r="M651" i="122"/>
  <c r="M650" i="122"/>
  <c r="M649" i="122"/>
  <c r="M648" i="122"/>
  <c r="M647" i="122"/>
  <c r="M646" i="122"/>
  <c r="M645" i="122"/>
  <c r="M644" i="122"/>
  <c r="M643" i="122"/>
  <c r="M642" i="122"/>
  <c r="M641" i="122"/>
  <c r="M640" i="122"/>
  <c r="M639" i="122"/>
  <c r="M638" i="122"/>
  <c r="M637" i="122"/>
  <c r="M636" i="122"/>
  <c r="M635" i="122"/>
  <c r="M634" i="122"/>
  <c r="M633" i="122"/>
  <c r="M632" i="122"/>
  <c r="M631" i="122"/>
  <c r="M630" i="122"/>
  <c r="M629" i="122"/>
  <c r="M628" i="122"/>
  <c r="M627" i="122"/>
  <c r="M626" i="122"/>
  <c r="M625" i="122"/>
  <c r="M624" i="122"/>
  <c r="O624" i="122" s="1"/>
  <c r="P624" i="122" s="1"/>
  <c r="M623" i="122"/>
  <c r="O623" i="122" s="1"/>
  <c r="M622" i="122"/>
  <c r="M621" i="122"/>
  <c r="M620" i="122"/>
  <c r="M619" i="122"/>
  <c r="O619" i="122" s="1"/>
  <c r="P619" i="122" s="1"/>
  <c r="M618" i="122"/>
  <c r="M617" i="122"/>
  <c r="M616" i="122"/>
  <c r="O616" i="122" s="1"/>
  <c r="P616" i="122" s="1"/>
  <c r="M615" i="122"/>
  <c r="M614" i="122"/>
  <c r="M613" i="122"/>
  <c r="O613" i="122" s="1"/>
  <c r="P613" i="122" s="1"/>
  <c r="M612" i="122"/>
  <c r="O612" i="122" s="1"/>
  <c r="M611" i="122"/>
  <c r="M610" i="122"/>
  <c r="M609" i="122"/>
  <c r="D609" i="122"/>
  <c r="M608" i="122"/>
  <c r="M607" i="122"/>
  <c r="M606" i="122"/>
  <c r="M605" i="122"/>
  <c r="M604" i="122"/>
  <c r="M603" i="122"/>
  <c r="O603" i="122" s="1"/>
  <c r="P603" i="122" s="1"/>
  <c r="M602" i="122"/>
  <c r="M601" i="122"/>
  <c r="O601" i="122" s="1"/>
  <c r="M600" i="122"/>
  <c r="M599" i="122"/>
  <c r="M598" i="122"/>
  <c r="O598" i="122" s="1"/>
  <c r="P598" i="122" s="1"/>
  <c r="L593" i="122"/>
  <c r="K593" i="122"/>
  <c r="M592" i="122"/>
  <c r="M591" i="122"/>
  <c r="M590" i="122"/>
  <c r="M589" i="122"/>
  <c r="M588" i="122"/>
  <c r="M587" i="122"/>
  <c r="M586" i="122"/>
  <c r="M585" i="122"/>
  <c r="M584" i="122"/>
  <c r="M583" i="122"/>
  <c r="M582" i="122"/>
  <c r="M581" i="122"/>
  <c r="M580" i="122"/>
  <c r="M579" i="122"/>
  <c r="M578" i="122"/>
  <c r="M577" i="122"/>
  <c r="M576" i="122"/>
  <c r="M575" i="122"/>
  <c r="M574" i="122"/>
  <c r="M573" i="122"/>
  <c r="M572" i="122"/>
  <c r="M571" i="122"/>
  <c r="M570" i="122"/>
  <c r="M569" i="122"/>
  <c r="M568" i="122"/>
  <c r="M567" i="122"/>
  <c r="M566" i="122"/>
  <c r="M565" i="122"/>
  <c r="M564" i="122"/>
  <c r="M563" i="122"/>
  <c r="M562" i="122"/>
  <c r="M561" i="122"/>
  <c r="M560" i="122"/>
  <c r="M559" i="122"/>
  <c r="M558" i="122"/>
  <c r="M557" i="122"/>
  <c r="M556" i="122"/>
  <c r="M555" i="122"/>
  <c r="M554" i="122"/>
  <c r="M553" i="122"/>
  <c r="M552" i="122"/>
  <c r="M551" i="122"/>
  <c r="M550" i="122"/>
  <c r="M549" i="122"/>
  <c r="M548" i="122"/>
  <c r="M547" i="122"/>
  <c r="M546" i="122"/>
  <c r="M545" i="122"/>
  <c r="M544" i="122"/>
  <c r="M543" i="122"/>
  <c r="M542" i="122"/>
  <c r="M541" i="122"/>
  <c r="M540" i="122"/>
  <c r="M539" i="122"/>
  <c r="M538" i="122"/>
  <c r="M537" i="122"/>
  <c r="M536" i="122"/>
  <c r="M535" i="122"/>
  <c r="M534" i="122"/>
  <c r="M533" i="122"/>
  <c r="M532" i="122"/>
  <c r="M531" i="122"/>
  <c r="O531" i="122" s="1"/>
  <c r="P531" i="122" s="1"/>
  <c r="M530" i="122"/>
  <c r="M529" i="122"/>
  <c r="M528" i="122"/>
  <c r="O528" i="122" s="1"/>
  <c r="M527" i="122"/>
  <c r="O527" i="122" s="1"/>
  <c r="P527" i="122" s="1"/>
  <c r="M526" i="122"/>
  <c r="O526" i="122" s="1"/>
  <c r="M525" i="122"/>
  <c r="M524" i="122"/>
  <c r="O524" i="122" s="1"/>
  <c r="M523" i="122"/>
  <c r="O523" i="122" s="1"/>
  <c r="M522" i="122"/>
  <c r="M521" i="122"/>
  <c r="M520" i="122"/>
  <c r="M519" i="122"/>
  <c r="M518" i="122"/>
  <c r="O518" i="122" s="1"/>
  <c r="M517" i="122"/>
  <c r="M516" i="122"/>
  <c r="M515" i="122"/>
  <c r="M514" i="122"/>
  <c r="O514" i="122" s="1"/>
  <c r="P514" i="122" s="1"/>
  <c r="M513" i="122"/>
  <c r="M512" i="122"/>
  <c r="M511" i="122"/>
  <c r="M510" i="122"/>
  <c r="M509" i="122"/>
  <c r="M508" i="122"/>
  <c r="O508" i="122" s="1"/>
  <c r="M507" i="122"/>
  <c r="M506" i="122"/>
  <c r="M505" i="122"/>
  <c r="O505" i="122" s="1"/>
  <c r="M504" i="122"/>
  <c r="M503" i="122"/>
  <c r="M502" i="122"/>
  <c r="M501" i="122"/>
  <c r="O501" i="122" s="1"/>
  <c r="M500" i="122"/>
  <c r="L495" i="122"/>
  <c r="K495" i="122"/>
  <c r="M494" i="122"/>
  <c r="M493" i="122"/>
  <c r="M492" i="122"/>
  <c r="M491" i="122"/>
  <c r="M490" i="122"/>
  <c r="M489" i="122"/>
  <c r="M488" i="122"/>
  <c r="M487" i="122"/>
  <c r="M486" i="122"/>
  <c r="M485" i="122"/>
  <c r="M484" i="122"/>
  <c r="M483" i="122"/>
  <c r="M482" i="122"/>
  <c r="M481" i="122"/>
  <c r="M480" i="122"/>
  <c r="M479" i="122"/>
  <c r="M478" i="122"/>
  <c r="M477" i="122"/>
  <c r="M476" i="122"/>
  <c r="M475" i="122"/>
  <c r="M474" i="122"/>
  <c r="M473" i="122"/>
  <c r="M472" i="122"/>
  <c r="M471" i="122"/>
  <c r="M470" i="122"/>
  <c r="M469" i="122"/>
  <c r="M468" i="122"/>
  <c r="M467" i="122"/>
  <c r="M466" i="122"/>
  <c r="M465" i="122"/>
  <c r="M464" i="122"/>
  <c r="M463" i="122"/>
  <c r="M462" i="122"/>
  <c r="M461" i="122"/>
  <c r="M460" i="122"/>
  <c r="M459" i="122"/>
  <c r="M458" i="122"/>
  <c r="M457" i="122"/>
  <c r="M456" i="122"/>
  <c r="M455" i="122"/>
  <c r="M454" i="122"/>
  <c r="M453" i="122"/>
  <c r="M452" i="122"/>
  <c r="M451" i="122"/>
  <c r="M450" i="122"/>
  <c r="M449" i="122"/>
  <c r="M448" i="122"/>
  <c r="M447" i="122"/>
  <c r="M446" i="122"/>
  <c r="M445" i="122"/>
  <c r="M444" i="122"/>
  <c r="M443" i="122"/>
  <c r="M442" i="122"/>
  <c r="M441" i="122"/>
  <c r="M440" i="122"/>
  <c r="M439" i="122"/>
  <c r="M438" i="122"/>
  <c r="M437" i="122"/>
  <c r="M436" i="122"/>
  <c r="M435" i="122"/>
  <c r="M434" i="122"/>
  <c r="M433" i="122"/>
  <c r="M432" i="122"/>
  <c r="M431" i="122"/>
  <c r="O431" i="122" s="1"/>
  <c r="M430" i="122"/>
  <c r="O430" i="122" s="1"/>
  <c r="P430" i="122" s="1"/>
  <c r="M429" i="122"/>
  <c r="M428" i="122"/>
  <c r="M427" i="122"/>
  <c r="O427" i="122" s="1"/>
  <c r="M426" i="122"/>
  <c r="M425" i="122"/>
  <c r="O425" i="122" s="1"/>
  <c r="M424" i="122"/>
  <c r="M423" i="122"/>
  <c r="O423" i="122" s="1"/>
  <c r="M422" i="122"/>
  <c r="O422" i="122" s="1"/>
  <c r="P422" i="122" s="1"/>
  <c r="M421" i="122"/>
  <c r="M420" i="122"/>
  <c r="M419" i="122"/>
  <c r="O419" i="122" s="1"/>
  <c r="M418" i="122"/>
  <c r="M417" i="122"/>
  <c r="M416" i="122"/>
  <c r="M415" i="122"/>
  <c r="M414" i="122"/>
  <c r="O414" i="122" s="1"/>
  <c r="M413" i="122"/>
  <c r="M412" i="122"/>
  <c r="M411" i="122"/>
  <c r="M410" i="122"/>
  <c r="O410" i="122" s="1"/>
  <c r="M409" i="122"/>
  <c r="M408" i="122"/>
  <c r="M407" i="122"/>
  <c r="O407" i="122" s="1"/>
  <c r="P407" i="122" s="1"/>
  <c r="M405" i="122"/>
  <c r="M404" i="122"/>
  <c r="O404" i="122" s="1"/>
  <c r="M403" i="122"/>
  <c r="O403" i="122" s="1"/>
  <c r="M402" i="122"/>
  <c r="L397" i="122"/>
  <c r="K397" i="122"/>
  <c r="M396" i="122"/>
  <c r="M395" i="122"/>
  <c r="M394" i="122"/>
  <c r="C394" i="122"/>
  <c r="C492" i="122" s="1"/>
  <c r="C590" i="122" s="1"/>
  <c r="C688" i="122" s="1"/>
  <c r="M393" i="122"/>
  <c r="M392" i="122"/>
  <c r="C392" i="122"/>
  <c r="C490" i="122" s="1"/>
  <c r="C588" i="122" s="1"/>
  <c r="C686" i="122" s="1"/>
  <c r="M391" i="122"/>
  <c r="M390" i="122"/>
  <c r="M389" i="122"/>
  <c r="M388" i="122"/>
  <c r="M387" i="122"/>
  <c r="M386" i="122"/>
  <c r="M385" i="122"/>
  <c r="M384" i="122"/>
  <c r="M383" i="122"/>
  <c r="M382" i="122"/>
  <c r="M381" i="122"/>
  <c r="M380" i="122"/>
  <c r="M379" i="122"/>
  <c r="M378" i="122"/>
  <c r="M377" i="122"/>
  <c r="M376" i="122"/>
  <c r="M375" i="122"/>
  <c r="M374" i="122"/>
  <c r="M373" i="122"/>
  <c r="M372" i="122"/>
  <c r="M371" i="122"/>
  <c r="M370" i="122"/>
  <c r="M369" i="122"/>
  <c r="M368" i="122"/>
  <c r="M367" i="122"/>
  <c r="M366" i="122"/>
  <c r="M365" i="122"/>
  <c r="A365" i="122"/>
  <c r="A463" i="122" s="1"/>
  <c r="A561" i="122" s="1"/>
  <c r="A659" i="122" s="1"/>
  <c r="M364" i="122"/>
  <c r="M363" i="122"/>
  <c r="M362" i="122"/>
  <c r="M361" i="122"/>
  <c r="M360" i="122"/>
  <c r="M359" i="122"/>
  <c r="M358" i="122"/>
  <c r="M357" i="122"/>
  <c r="A357" i="122"/>
  <c r="A455" i="122" s="1"/>
  <c r="A553" i="122" s="1"/>
  <c r="A651" i="122" s="1"/>
  <c r="M356" i="122"/>
  <c r="M355" i="122"/>
  <c r="M354" i="122"/>
  <c r="M353" i="122"/>
  <c r="M352" i="122"/>
  <c r="M351" i="122"/>
  <c r="M350" i="122"/>
  <c r="M349" i="122"/>
  <c r="M348" i="122"/>
  <c r="M347" i="122"/>
  <c r="M346" i="122"/>
  <c r="M345" i="122"/>
  <c r="M344" i="122"/>
  <c r="M343" i="122"/>
  <c r="M342" i="122"/>
  <c r="M341" i="122"/>
  <c r="M340" i="122"/>
  <c r="M339" i="122"/>
  <c r="M338" i="122"/>
  <c r="M337" i="122"/>
  <c r="M336" i="122"/>
  <c r="M335" i="122"/>
  <c r="M334" i="122"/>
  <c r="M333" i="122"/>
  <c r="M332" i="122"/>
  <c r="M331" i="122"/>
  <c r="M330" i="122"/>
  <c r="M329" i="122"/>
  <c r="M328" i="122"/>
  <c r="M327" i="122"/>
  <c r="M326" i="122"/>
  <c r="O326" i="122" s="1"/>
  <c r="M325" i="122"/>
  <c r="M324" i="122"/>
  <c r="M323" i="122"/>
  <c r="M322" i="122"/>
  <c r="M321" i="122"/>
  <c r="O321" i="122" s="1"/>
  <c r="P321" i="122" s="1"/>
  <c r="M320" i="122"/>
  <c r="M319" i="122"/>
  <c r="M318" i="122"/>
  <c r="O318" i="122" s="1"/>
  <c r="M317" i="122"/>
  <c r="O317" i="122" s="1"/>
  <c r="P317" i="122" s="1"/>
  <c r="M316" i="122"/>
  <c r="O316" i="122" s="1"/>
  <c r="P316" i="122" s="1"/>
  <c r="M315" i="122"/>
  <c r="M314" i="122"/>
  <c r="M313" i="122"/>
  <c r="M312" i="122"/>
  <c r="M311" i="122"/>
  <c r="M310" i="122"/>
  <c r="M309" i="122"/>
  <c r="M308" i="122"/>
  <c r="M307" i="122"/>
  <c r="O307" i="122" s="1"/>
  <c r="M306" i="122"/>
  <c r="O306" i="122" s="1"/>
  <c r="P306" i="122" s="1"/>
  <c r="M305" i="122"/>
  <c r="M304" i="122"/>
  <c r="L299" i="122"/>
  <c r="K299" i="122"/>
  <c r="M298" i="122"/>
  <c r="M297" i="122"/>
  <c r="M296" i="122"/>
  <c r="M295" i="122"/>
  <c r="M294" i="122"/>
  <c r="C294" i="122"/>
  <c r="M293" i="122"/>
  <c r="M292" i="122"/>
  <c r="B292" i="122"/>
  <c r="B390" i="122" s="1"/>
  <c r="B488" i="122" s="1"/>
  <c r="B586" i="122" s="1"/>
  <c r="B684" i="122" s="1"/>
  <c r="M291" i="122"/>
  <c r="M290" i="122"/>
  <c r="M289" i="122"/>
  <c r="M288" i="122"/>
  <c r="M287" i="122"/>
  <c r="M286" i="122"/>
  <c r="M285" i="122"/>
  <c r="M284" i="122"/>
  <c r="M283" i="122"/>
  <c r="M282" i="122"/>
  <c r="M281" i="122"/>
  <c r="M280" i="122"/>
  <c r="M279" i="122"/>
  <c r="M278" i="122"/>
  <c r="M277" i="122"/>
  <c r="M276" i="122"/>
  <c r="M275" i="122"/>
  <c r="M274" i="122"/>
  <c r="M273" i="122"/>
  <c r="E273" i="122"/>
  <c r="E371" i="122" s="1"/>
  <c r="E469" i="122" s="1"/>
  <c r="E567" i="122" s="1"/>
  <c r="E665" i="122" s="1"/>
  <c r="M272" i="122"/>
  <c r="M271" i="122"/>
  <c r="E271" i="122"/>
  <c r="E369" i="122" s="1"/>
  <c r="E467" i="122" s="1"/>
  <c r="E565" i="122" s="1"/>
  <c r="E663" i="122" s="1"/>
  <c r="M270" i="122"/>
  <c r="M269" i="122"/>
  <c r="M268" i="122"/>
  <c r="M267" i="122"/>
  <c r="M266" i="122"/>
  <c r="M265" i="122"/>
  <c r="M264" i="122"/>
  <c r="M263" i="122"/>
  <c r="M262" i="122"/>
  <c r="M261" i="122"/>
  <c r="M260" i="122"/>
  <c r="B260" i="122"/>
  <c r="B358" i="122" s="1"/>
  <c r="B456" i="122" s="1"/>
  <c r="B554" i="122" s="1"/>
  <c r="B652" i="122" s="1"/>
  <c r="M259" i="122"/>
  <c r="M258" i="122"/>
  <c r="M257" i="122"/>
  <c r="M256" i="122"/>
  <c r="M255" i="122"/>
  <c r="M254" i="122"/>
  <c r="A254" i="122"/>
  <c r="A352" i="122" s="1"/>
  <c r="A450" i="122" s="1"/>
  <c r="A548" i="122" s="1"/>
  <c r="A646" i="122" s="1"/>
  <c r="M253" i="122"/>
  <c r="M252" i="122"/>
  <c r="M251" i="122"/>
  <c r="M250" i="122"/>
  <c r="M249" i="122"/>
  <c r="M248" i="122"/>
  <c r="M247" i="122"/>
  <c r="M246" i="122"/>
  <c r="M245" i="122"/>
  <c r="M244" i="122"/>
  <c r="M243" i="122"/>
  <c r="M242" i="122"/>
  <c r="M241" i="122"/>
  <c r="E241" i="122"/>
  <c r="E339" i="122" s="1"/>
  <c r="E437" i="122" s="1"/>
  <c r="E535" i="122" s="1"/>
  <c r="E633" i="122" s="1"/>
  <c r="M240" i="122"/>
  <c r="M239" i="122"/>
  <c r="M238" i="122"/>
  <c r="M237" i="122"/>
  <c r="M236" i="122"/>
  <c r="O236" i="122" s="1"/>
  <c r="P236" i="122" s="1"/>
  <c r="M235" i="122"/>
  <c r="M234" i="122"/>
  <c r="B234" i="122"/>
  <c r="B332" i="122" s="1"/>
  <c r="B430" i="122" s="1"/>
  <c r="B528" i="122" s="1"/>
  <c r="B626" i="122" s="1"/>
  <c r="M233" i="122"/>
  <c r="M232" i="122"/>
  <c r="M231" i="122"/>
  <c r="M230" i="122"/>
  <c r="M229" i="122"/>
  <c r="M228" i="122"/>
  <c r="O228" i="122" s="1"/>
  <c r="P228" i="122" s="1"/>
  <c r="M227" i="122"/>
  <c r="M226" i="122"/>
  <c r="M225" i="122"/>
  <c r="M224" i="122"/>
  <c r="O224" i="122" s="1"/>
  <c r="M223" i="122"/>
  <c r="O223" i="122" s="1"/>
  <c r="M222" i="122"/>
  <c r="M221" i="122"/>
  <c r="O221" i="122" s="1"/>
  <c r="P221" i="122" s="1"/>
  <c r="M220" i="122"/>
  <c r="O220" i="122" s="1"/>
  <c r="P220" i="122" s="1"/>
  <c r="M219" i="122"/>
  <c r="O219" i="122" s="1"/>
  <c r="P219" i="122" s="1"/>
  <c r="M218" i="122"/>
  <c r="M217" i="122"/>
  <c r="M216" i="122"/>
  <c r="M215" i="122"/>
  <c r="M214" i="122"/>
  <c r="M213" i="122"/>
  <c r="M212" i="122"/>
  <c r="M211" i="122"/>
  <c r="M210" i="122"/>
  <c r="O210" i="122" s="1"/>
  <c r="M209" i="122"/>
  <c r="O209" i="122" s="1"/>
  <c r="M208" i="122"/>
  <c r="O208" i="122" s="1"/>
  <c r="O207" i="122"/>
  <c r="M207" i="122"/>
  <c r="B204" i="122"/>
  <c r="B302" i="122" s="1"/>
  <c r="B400" i="122" s="1"/>
  <c r="B498" i="122" s="1"/>
  <c r="B596" i="122" s="1"/>
  <c r="L201" i="122"/>
  <c r="K201" i="122"/>
  <c r="B201" i="122"/>
  <c r="B299" i="122" s="1"/>
  <c r="B397" i="122" s="1"/>
  <c r="B495" i="122" s="1"/>
  <c r="B593" i="122" s="1"/>
  <c r="B691" i="122" s="1"/>
  <c r="M200" i="122"/>
  <c r="C200" i="122"/>
  <c r="C298" i="122" s="1"/>
  <c r="C396" i="122" s="1"/>
  <c r="C494" i="122" s="1"/>
  <c r="C592" i="122" s="1"/>
  <c r="C690" i="122" s="1"/>
  <c r="M199" i="122"/>
  <c r="C199" i="122"/>
  <c r="C297" i="122" s="1"/>
  <c r="C395" i="122" s="1"/>
  <c r="C493" i="122" s="1"/>
  <c r="C591" i="122" s="1"/>
  <c r="C689" i="122" s="1"/>
  <c r="M198" i="122"/>
  <c r="C198" i="122"/>
  <c r="C296" i="122" s="1"/>
  <c r="M197" i="122"/>
  <c r="C197" i="122"/>
  <c r="C295" i="122" s="1"/>
  <c r="C393" i="122" s="1"/>
  <c r="C491" i="122" s="1"/>
  <c r="C589" i="122" s="1"/>
  <c r="C687" i="122" s="1"/>
  <c r="M196" i="122"/>
  <c r="C196" i="122"/>
  <c r="M195" i="122"/>
  <c r="M194" i="122"/>
  <c r="M193" i="122"/>
  <c r="M192" i="122"/>
  <c r="M191" i="122"/>
  <c r="M190" i="122"/>
  <c r="M189" i="122"/>
  <c r="M188" i="122"/>
  <c r="M187" i="122"/>
  <c r="M186" i="122"/>
  <c r="M185" i="122"/>
  <c r="M184" i="122"/>
  <c r="M183" i="122"/>
  <c r="M182" i="122"/>
  <c r="C182" i="122"/>
  <c r="C280" i="122" s="1"/>
  <c r="C378" i="122" s="1"/>
  <c r="C476" i="122" s="1"/>
  <c r="C574" i="122" s="1"/>
  <c r="C672" i="122" s="1"/>
  <c r="M181" i="122"/>
  <c r="M180" i="122"/>
  <c r="M179" i="122"/>
  <c r="M178" i="122"/>
  <c r="M177" i="122"/>
  <c r="M176" i="122"/>
  <c r="M175" i="122"/>
  <c r="M174" i="122"/>
  <c r="M173" i="122"/>
  <c r="M172" i="122"/>
  <c r="M171" i="122"/>
  <c r="M170" i="122"/>
  <c r="M169" i="122"/>
  <c r="M168" i="122"/>
  <c r="M167" i="122"/>
  <c r="M166" i="122"/>
  <c r="M165" i="122"/>
  <c r="M164" i="122"/>
  <c r="M163" i="122"/>
  <c r="M162" i="122"/>
  <c r="M161" i="122"/>
  <c r="M160" i="122"/>
  <c r="C160" i="122"/>
  <c r="C258" i="122" s="1"/>
  <c r="C356" i="122" s="1"/>
  <c r="C454" i="122" s="1"/>
  <c r="C552" i="122" s="1"/>
  <c r="C650" i="122" s="1"/>
  <c r="M159" i="122"/>
  <c r="M158" i="122"/>
  <c r="M157" i="122"/>
  <c r="B157" i="122"/>
  <c r="B255" i="122" s="1"/>
  <c r="B353" i="122" s="1"/>
  <c r="B451" i="122" s="1"/>
  <c r="B549" i="122" s="1"/>
  <c r="B647" i="122" s="1"/>
  <c r="A157" i="122"/>
  <c r="A255" i="122" s="1"/>
  <c r="A353" i="122" s="1"/>
  <c r="A451" i="122" s="1"/>
  <c r="A549" i="122" s="1"/>
  <c r="A647" i="122" s="1"/>
  <c r="M156" i="122"/>
  <c r="M155" i="122"/>
  <c r="M154" i="122"/>
  <c r="M153" i="122"/>
  <c r="M152" i="122"/>
  <c r="M151" i="122"/>
  <c r="M150" i="122"/>
  <c r="M149" i="122"/>
  <c r="M148" i="122"/>
  <c r="M147" i="122"/>
  <c r="M146" i="122"/>
  <c r="M145" i="122"/>
  <c r="M144" i="122"/>
  <c r="M143" i="122"/>
  <c r="M142" i="122"/>
  <c r="C142" i="122"/>
  <c r="C240" i="122" s="1"/>
  <c r="C338" i="122" s="1"/>
  <c r="C436" i="122" s="1"/>
  <c r="C534" i="122" s="1"/>
  <c r="C632" i="122" s="1"/>
  <c r="M141" i="122"/>
  <c r="M140" i="122"/>
  <c r="M139" i="122"/>
  <c r="M138" i="122"/>
  <c r="M137" i="122"/>
  <c r="O137" i="122" s="1"/>
  <c r="M136" i="122"/>
  <c r="M135" i="122"/>
  <c r="M134" i="122"/>
  <c r="M133" i="122"/>
  <c r="M132" i="122"/>
  <c r="M131" i="122"/>
  <c r="M130" i="122"/>
  <c r="M129" i="122"/>
  <c r="M128" i="122"/>
  <c r="M127" i="122"/>
  <c r="M126" i="122"/>
  <c r="M125" i="122"/>
  <c r="M124" i="122"/>
  <c r="O124" i="122" s="1"/>
  <c r="P124" i="122" s="1"/>
  <c r="M123" i="122"/>
  <c r="M122" i="122"/>
  <c r="M121" i="122"/>
  <c r="M120" i="122"/>
  <c r="M119" i="122"/>
  <c r="M118" i="122"/>
  <c r="M117" i="122"/>
  <c r="M116" i="122"/>
  <c r="M115" i="122"/>
  <c r="M114" i="122"/>
  <c r="M113" i="122"/>
  <c r="M112" i="122"/>
  <c r="M111" i="122"/>
  <c r="M110" i="122"/>
  <c r="O110" i="122" s="1"/>
  <c r="P110" i="122" s="1"/>
  <c r="M109" i="122"/>
  <c r="O109" i="122" s="1"/>
  <c r="P109" i="122" s="1"/>
  <c r="B106" i="122"/>
  <c r="L103" i="122"/>
  <c r="K103" i="122"/>
  <c r="M102" i="122"/>
  <c r="E200" i="122"/>
  <c r="E298" i="122" s="1"/>
  <c r="E396" i="122" s="1"/>
  <c r="E494" i="122" s="1"/>
  <c r="E592" i="122" s="1"/>
  <c r="E690" i="122" s="1"/>
  <c r="D200" i="122"/>
  <c r="D298" i="122" s="1"/>
  <c r="D396" i="122" s="1"/>
  <c r="D494" i="122" s="1"/>
  <c r="D592" i="122" s="1"/>
  <c r="D690" i="122" s="1"/>
  <c r="B200" i="122"/>
  <c r="B298" i="122" s="1"/>
  <c r="B396" i="122" s="1"/>
  <c r="B494" i="122" s="1"/>
  <c r="B592" i="122" s="1"/>
  <c r="B690" i="122" s="1"/>
  <c r="A200" i="122"/>
  <c r="A298" i="122" s="1"/>
  <c r="A396" i="122" s="1"/>
  <c r="A494" i="122" s="1"/>
  <c r="A592" i="122" s="1"/>
  <c r="A690" i="122" s="1"/>
  <c r="M101" i="122"/>
  <c r="E199" i="122"/>
  <c r="E297" i="122" s="1"/>
  <c r="E395" i="122" s="1"/>
  <c r="E493" i="122" s="1"/>
  <c r="E591" i="122" s="1"/>
  <c r="E689" i="122" s="1"/>
  <c r="D199" i="122"/>
  <c r="D297" i="122" s="1"/>
  <c r="D395" i="122" s="1"/>
  <c r="D493" i="122" s="1"/>
  <c r="D591" i="122" s="1"/>
  <c r="D689" i="122" s="1"/>
  <c r="B199" i="122"/>
  <c r="B297" i="122" s="1"/>
  <c r="B395" i="122" s="1"/>
  <c r="B493" i="122" s="1"/>
  <c r="B591" i="122" s="1"/>
  <c r="B689" i="122" s="1"/>
  <c r="A199" i="122"/>
  <c r="A297" i="122" s="1"/>
  <c r="A395" i="122" s="1"/>
  <c r="A493" i="122" s="1"/>
  <c r="A591" i="122" s="1"/>
  <c r="A689" i="122" s="1"/>
  <c r="M100" i="122"/>
  <c r="E198" i="122"/>
  <c r="E296" i="122" s="1"/>
  <c r="E394" i="122" s="1"/>
  <c r="E492" i="122" s="1"/>
  <c r="E590" i="122" s="1"/>
  <c r="E688" i="122" s="1"/>
  <c r="D198" i="122"/>
  <c r="D296" i="122" s="1"/>
  <c r="D394" i="122" s="1"/>
  <c r="D492" i="122" s="1"/>
  <c r="D590" i="122" s="1"/>
  <c r="D688" i="122" s="1"/>
  <c r="B198" i="122"/>
  <c r="B296" i="122" s="1"/>
  <c r="B394" i="122" s="1"/>
  <c r="B492" i="122" s="1"/>
  <c r="B590" i="122" s="1"/>
  <c r="B688" i="122" s="1"/>
  <c r="A198" i="122"/>
  <c r="A296" i="122" s="1"/>
  <c r="A394" i="122" s="1"/>
  <c r="A492" i="122" s="1"/>
  <c r="A590" i="122" s="1"/>
  <c r="A688" i="122" s="1"/>
  <c r="M99" i="122"/>
  <c r="E197" i="122"/>
  <c r="E295" i="122" s="1"/>
  <c r="E393" i="122" s="1"/>
  <c r="E491" i="122" s="1"/>
  <c r="E589" i="122" s="1"/>
  <c r="E687" i="122" s="1"/>
  <c r="D197" i="122"/>
  <c r="D295" i="122" s="1"/>
  <c r="D393" i="122" s="1"/>
  <c r="D491" i="122" s="1"/>
  <c r="D589" i="122" s="1"/>
  <c r="D687" i="122" s="1"/>
  <c r="B197" i="122"/>
  <c r="B295" i="122" s="1"/>
  <c r="B393" i="122" s="1"/>
  <c r="B491" i="122" s="1"/>
  <c r="B589" i="122" s="1"/>
  <c r="B687" i="122" s="1"/>
  <c r="A197" i="122"/>
  <c r="A295" i="122" s="1"/>
  <c r="A393" i="122" s="1"/>
  <c r="A491" i="122" s="1"/>
  <c r="A589" i="122" s="1"/>
  <c r="A687" i="122" s="1"/>
  <c r="M98" i="122"/>
  <c r="E196" i="122"/>
  <c r="E294" i="122" s="1"/>
  <c r="E392" i="122" s="1"/>
  <c r="E490" i="122" s="1"/>
  <c r="E588" i="122" s="1"/>
  <c r="E686" i="122" s="1"/>
  <c r="D196" i="122"/>
  <c r="D294" i="122" s="1"/>
  <c r="D392" i="122" s="1"/>
  <c r="D490" i="122" s="1"/>
  <c r="D588" i="122" s="1"/>
  <c r="D686" i="122" s="1"/>
  <c r="B196" i="122"/>
  <c r="B294" i="122" s="1"/>
  <c r="B392" i="122" s="1"/>
  <c r="B490" i="122" s="1"/>
  <c r="B588" i="122" s="1"/>
  <c r="B686" i="122" s="1"/>
  <c r="A196" i="122"/>
  <c r="A294" i="122" s="1"/>
  <c r="A392" i="122" s="1"/>
  <c r="A490" i="122" s="1"/>
  <c r="A588" i="122" s="1"/>
  <c r="A686" i="122" s="1"/>
  <c r="M97" i="122"/>
  <c r="E195" i="122"/>
  <c r="E293" i="122" s="1"/>
  <c r="E391" i="122" s="1"/>
  <c r="E489" i="122" s="1"/>
  <c r="E587" i="122" s="1"/>
  <c r="E685" i="122" s="1"/>
  <c r="D195" i="122"/>
  <c r="D293" i="122" s="1"/>
  <c r="D391" i="122" s="1"/>
  <c r="D489" i="122" s="1"/>
  <c r="D587" i="122" s="1"/>
  <c r="D685" i="122" s="1"/>
  <c r="C195" i="122"/>
  <c r="C293" i="122" s="1"/>
  <c r="C391" i="122" s="1"/>
  <c r="C489" i="122" s="1"/>
  <c r="C587" i="122" s="1"/>
  <c r="C685" i="122" s="1"/>
  <c r="B195" i="122"/>
  <c r="B293" i="122" s="1"/>
  <c r="B391" i="122" s="1"/>
  <c r="B489" i="122" s="1"/>
  <c r="B587" i="122" s="1"/>
  <c r="B685" i="122" s="1"/>
  <c r="A195" i="122"/>
  <c r="A293" i="122" s="1"/>
  <c r="A391" i="122" s="1"/>
  <c r="A489" i="122" s="1"/>
  <c r="A587" i="122" s="1"/>
  <c r="A685" i="122" s="1"/>
  <c r="M96" i="122"/>
  <c r="E194" i="122"/>
  <c r="E292" i="122" s="1"/>
  <c r="E390" i="122" s="1"/>
  <c r="E488" i="122" s="1"/>
  <c r="E586" i="122" s="1"/>
  <c r="E684" i="122" s="1"/>
  <c r="D194" i="122"/>
  <c r="D292" i="122" s="1"/>
  <c r="D390" i="122" s="1"/>
  <c r="D488" i="122" s="1"/>
  <c r="D586" i="122" s="1"/>
  <c r="D684" i="122" s="1"/>
  <c r="C194" i="122"/>
  <c r="C292" i="122" s="1"/>
  <c r="C390" i="122" s="1"/>
  <c r="C488" i="122" s="1"/>
  <c r="C586" i="122" s="1"/>
  <c r="C684" i="122" s="1"/>
  <c r="B194" i="122"/>
  <c r="A194" i="122"/>
  <c r="A292" i="122" s="1"/>
  <c r="A390" i="122" s="1"/>
  <c r="A488" i="122" s="1"/>
  <c r="A586" i="122" s="1"/>
  <c r="A684" i="122" s="1"/>
  <c r="M95" i="122"/>
  <c r="E193" i="122"/>
  <c r="E291" i="122" s="1"/>
  <c r="E389" i="122" s="1"/>
  <c r="E487" i="122" s="1"/>
  <c r="E585" i="122" s="1"/>
  <c r="E683" i="122" s="1"/>
  <c r="D193" i="122"/>
  <c r="D291" i="122" s="1"/>
  <c r="D389" i="122" s="1"/>
  <c r="D487" i="122" s="1"/>
  <c r="D585" i="122" s="1"/>
  <c r="D683" i="122" s="1"/>
  <c r="C193" i="122"/>
  <c r="C291" i="122" s="1"/>
  <c r="C389" i="122" s="1"/>
  <c r="C487" i="122" s="1"/>
  <c r="C585" i="122" s="1"/>
  <c r="C683" i="122" s="1"/>
  <c r="B193" i="122"/>
  <c r="B291" i="122" s="1"/>
  <c r="B389" i="122" s="1"/>
  <c r="B487" i="122" s="1"/>
  <c r="B585" i="122" s="1"/>
  <c r="B683" i="122" s="1"/>
  <c r="A193" i="122"/>
  <c r="A291" i="122" s="1"/>
  <c r="A389" i="122" s="1"/>
  <c r="A487" i="122" s="1"/>
  <c r="A585" i="122" s="1"/>
  <c r="A683" i="122" s="1"/>
  <c r="M94" i="122"/>
  <c r="E192" i="122"/>
  <c r="E290" i="122" s="1"/>
  <c r="E388" i="122" s="1"/>
  <c r="E486" i="122" s="1"/>
  <c r="E584" i="122" s="1"/>
  <c r="E682" i="122" s="1"/>
  <c r="D192" i="122"/>
  <c r="D290" i="122" s="1"/>
  <c r="D388" i="122" s="1"/>
  <c r="D486" i="122" s="1"/>
  <c r="D584" i="122" s="1"/>
  <c r="D682" i="122" s="1"/>
  <c r="C192" i="122"/>
  <c r="C290" i="122" s="1"/>
  <c r="C388" i="122" s="1"/>
  <c r="C486" i="122" s="1"/>
  <c r="C584" i="122" s="1"/>
  <c r="C682" i="122" s="1"/>
  <c r="B192" i="122"/>
  <c r="B290" i="122" s="1"/>
  <c r="B388" i="122" s="1"/>
  <c r="B486" i="122" s="1"/>
  <c r="B584" i="122" s="1"/>
  <c r="B682" i="122" s="1"/>
  <c r="A192" i="122"/>
  <c r="A290" i="122" s="1"/>
  <c r="A388" i="122" s="1"/>
  <c r="A486" i="122" s="1"/>
  <c r="A584" i="122" s="1"/>
  <c r="A682" i="122" s="1"/>
  <c r="M93" i="122"/>
  <c r="E191" i="122"/>
  <c r="E289" i="122" s="1"/>
  <c r="E387" i="122" s="1"/>
  <c r="E485" i="122" s="1"/>
  <c r="E583" i="122" s="1"/>
  <c r="E681" i="122" s="1"/>
  <c r="D191" i="122"/>
  <c r="D289" i="122" s="1"/>
  <c r="D387" i="122" s="1"/>
  <c r="D485" i="122" s="1"/>
  <c r="D583" i="122" s="1"/>
  <c r="D681" i="122" s="1"/>
  <c r="C191" i="122"/>
  <c r="C289" i="122" s="1"/>
  <c r="C387" i="122" s="1"/>
  <c r="C485" i="122" s="1"/>
  <c r="C583" i="122" s="1"/>
  <c r="C681" i="122" s="1"/>
  <c r="B191" i="122"/>
  <c r="B289" i="122" s="1"/>
  <c r="B387" i="122" s="1"/>
  <c r="B485" i="122" s="1"/>
  <c r="B583" i="122" s="1"/>
  <c r="B681" i="122" s="1"/>
  <c r="A191" i="122"/>
  <c r="A289" i="122" s="1"/>
  <c r="A387" i="122" s="1"/>
  <c r="A485" i="122" s="1"/>
  <c r="A583" i="122" s="1"/>
  <c r="A681" i="122" s="1"/>
  <c r="M92" i="122"/>
  <c r="E190" i="122"/>
  <c r="E288" i="122" s="1"/>
  <c r="E386" i="122" s="1"/>
  <c r="E484" i="122" s="1"/>
  <c r="E582" i="122" s="1"/>
  <c r="E680" i="122" s="1"/>
  <c r="D190" i="122"/>
  <c r="D288" i="122" s="1"/>
  <c r="D386" i="122" s="1"/>
  <c r="D484" i="122" s="1"/>
  <c r="D582" i="122" s="1"/>
  <c r="D680" i="122" s="1"/>
  <c r="C190" i="122"/>
  <c r="C288" i="122" s="1"/>
  <c r="C386" i="122" s="1"/>
  <c r="C484" i="122" s="1"/>
  <c r="C582" i="122" s="1"/>
  <c r="C680" i="122" s="1"/>
  <c r="B190" i="122"/>
  <c r="B288" i="122" s="1"/>
  <c r="B386" i="122" s="1"/>
  <c r="B484" i="122" s="1"/>
  <c r="B582" i="122" s="1"/>
  <c r="B680" i="122" s="1"/>
  <c r="A190" i="122"/>
  <c r="A288" i="122" s="1"/>
  <c r="A386" i="122" s="1"/>
  <c r="A484" i="122" s="1"/>
  <c r="A582" i="122" s="1"/>
  <c r="A680" i="122" s="1"/>
  <c r="M91" i="122"/>
  <c r="E189" i="122"/>
  <c r="E287" i="122" s="1"/>
  <c r="E385" i="122" s="1"/>
  <c r="E483" i="122" s="1"/>
  <c r="E581" i="122" s="1"/>
  <c r="E679" i="122" s="1"/>
  <c r="D189" i="122"/>
  <c r="D287" i="122" s="1"/>
  <c r="D385" i="122" s="1"/>
  <c r="D483" i="122" s="1"/>
  <c r="D581" i="122" s="1"/>
  <c r="D679" i="122" s="1"/>
  <c r="C189" i="122"/>
  <c r="C287" i="122" s="1"/>
  <c r="C385" i="122" s="1"/>
  <c r="C483" i="122" s="1"/>
  <c r="C581" i="122" s="1"/>
  <c r="C679" i="122" s="1"/>
  <c r="B189" i="122"/>
  <c r="B287" i="122" s="1"/>
  <c r="B385" i="122" s="1"/>
  <c r="B483" i="122" s="1"/>
  <c r="B581" i="122" s="1"/>
  <c r="B679" i="122" s="1"/>
  <c r="A189" i="122"/>
  <c r="A287" i="122" s="1"/>
  <c r="A385" i="122" s="1"/>
  <c r="A483" i="122" s="1"/>
  <c r="A581" i="122" s="1"/>
  <c r="A679" i="122" s="1"/>
  <c r="M90" i="122"/>
  <c r="E188" i="122"/>
  <c r="E286" i="122" s="1"/>
  <c r="E384" i="122" s="1"/>
  <c r="E482" i="122" s="1"/>
  <c r="E580" i="122" s="1"/>
  <c r="E678" i="122" s="1"/>
  <c r="D188" i="122"/>
  <c r="D286" i="122" s="1"/>
  <c r="D384" i="122" s="1"/>
  <c r="D482" i="122" s="1"/>
  <c r="D580" i="122" s="1"/>
  <c r="D678" i="122" s="1"/>
  <c r="C188" i="122"/>
  <c r="C286" i="122" s="1"/>
  <c r="C384" i="122" s="1"/>
  <c r="C482" i="122" s="1"/>
  <c r="C580" i="122" s="1"/>
  <c r="C678" i="122" s="1"/>
  <c r="B188" i="122"/>
  <c r="B286" i="122" s="1"/>
  <c r="B384" i="122" s="1"/>
  <c r="B482" i="122" s="1"/>
  <c r="B580" i="122" s="1"/>
  <c r="B678" i="122" s="1"/>
  <c r="A188" i="122"/>
  <c r="A286" i="122" s="1"/>
  <c r="A384" i="122" s="1"/>
  <c r="A482" i="122" s="1"/>
  <c r="A580" i="122" s="1"/>
  <c r="A678" i="122" s="1"/>
  <c r="M89" i="122"/>
  <c r="E187" i="122"/>
  <c r="E285" i="122" s="1"/>
  <c r="E383" i="122" s="1"/>
  <c r="E481" i="122" s="1"/>
  <c r="E579" i="122" s="1"/>
  <c r="E677" i="122" s="1"/>
  <c r="D187" i="122"/>
  <c r="D285" i="122" s="1"/>
  <c r="D383" i="122" s="1"/>
  <c r="D481" i="122" s="1"/>
  <c r="D579" i="122" s="1"/>
  <c r="D677" i="122" s="1"/>
  <c r="C187" i="122"/>
  <c r="C285" i="122" s="1"/>
  <c r="C383" i="122" s="1"/>
  <c r="C481" i="122" s="1"/>
  <c r="C579" i="122" s="1"/>
  <c r="C677" i="122" s="1"/>
  <c r="B187" i="122"/>
  <c r="B285" i="122" s="1"/>
  <c r="B383" i="122" s="1"/>
  <c r="B481" i="122" s="1"/>
  <c r="B579" i="122" s="1"/>
  <c r="B677" i="122" s="1"/>
  <c r="A187" i="122"/>
  <c r="A285" i="122" s="1"/>
  <c r="A383" i="122" s="1"/>
  <c r="A481" i="122" s="1"/>
  <c r="A579" i="122" s="1"/>
  <c r="A677" i="122" s="1"/>
  <c r="M88" i="122"/>
  <c r="E186" i="122"/>
  <c r="E284" i="122" s="1"/>
  <c r="E382" i="122" s="1"/>
  <c r="E480" i="122" s="1"/>
  <c r="E578" i="122" s="1"/>
  <c r="E676" i="122" s="1"/>
  <c r="D186" i="122"/>
  <c r="D284" i="122" s="1"/>
  <c r="D382" i="122" s="1"/>
  <c r="D480" i="122" s="1"/>
  <c r="D578" i="122" s="1"/>
  <c r="D676" i="122" s="1"/>
  <c r="C186" i="122"/>
  <c r="C284" i="122" s="1"/>
  <c r="C382" i="122" s="1"/>
  <c r="C480" i="122" s="1"/>
  <c r="C578" i="122" s="1"/>
  <c r="C676" i="122" s="1"/>
  <c r="B186" i="122"/>
  <c r="B284" i="122" s="1"/>
  <c r="B382" i="122" s="1"/>
  <c r="B480" i="122" s="1"/>
  <c r="B578" i="122" s="1"/>
  <c r="B676" i="122" s="1"/>
  <c r="A186" i="122"/>
  <c r="A284" i="122" s="1"/>
  <c r="A382" i="122" s="1"/>
  <c r="A480" i="122" s="1"/>
  <c r="A578" i="122" s="1"/>
  <c r="A676" i="122" s="1"/>
  <c r="M87" i="122"/>
  <c r="E185" i="122"/>
  <c r="E283" i="122" s="1"/>
  <c r="E381" i="122" s="1"/>
  <c r="E479" i="122" s="1"/>
  <c r="E577" i="122" s="1"/>
  <c r="E675" i="122" s="1"/>
  <c r="D185" i="122"/>
  <c r="D283" i="122" s="1"/>
  <c r="D381" i="122" s="1"/>
  <c r="D479" i="122" s="1"/>
  <c r="D577" i="122" s="1"/>
  <c r="D675" i="122" s="1"/>
  <c r="C185" i="122"/>
  <c r="C283" i="122" s="1"/>
  <c r="C381" i="122" s="1"/>
  <c r="C479" i="122" s="1"/>
  <c r="C577" i="122" s="1"/>
  <c r="C675" i="122" s="1"/>
  <c r="B185" i="122"/>
  <c r="B283" i="122" s="1"/>
  <c r="B381" i="122" s="1"/>
  <c r="B479" i="122" s="1"/>
  <c r="B577" i="122" s="1"/>
  <c r="B675" i="122" s="1"/>
  <c r="A185" i="122"/>
  <c r="A283" i="122" s="1"/>
  <c r="A381" i="122" s="1"/>
  <c r="A479" i="122" s="1"/>
  <c r="A577" i="122" s="1"/>
  <c r="A675" i="122" s="1"/>
  <c r="M86" i="122"/>
  <c r="E184" i="122"/>
  <c r="E282" i="122" s="1"/>
  <c r="E380" i="122" s="1"/>
  <c r="E478" i="122" s="1"/>
  <c r="E576" i="122" s="1"/>
  <c r="E674" i="122" s="1"/>
  <c r="D184" i="122"/>
  <c r="D282" i="122" s="1"/>
  <c r="D380" i="122" s="1"/>
  <c r="D478" i="122" s="1"/>
  <c r="D576" i="122" s="1"/>
  <c r="D674" i="122" s="1"/>
  <c r="C184" i="122"/>
  <c r="C282" i="122" s="1"/>
  <c r="C380" i="122" s="1"/>
  <c r="C478" i="122" s="1"/>
  <c r="C576" i="122" s="1"/>
  <c r="C674" i="122" s="1"/>
  <c r="B184" i="122"/>
  <c r="B282" i="122" s="1"/>
  <c r="B380" i="122" s="1"/>
  <c r="B478" i="122" s="1"/>
  <c r="B576" i="122" s="1"/>
  <c r="B674" i="122" s="1"/>
  <c r="A184" i="122"/>
  <c r="A282" i="122" s="1"/>
  <c r="A380" i="122" s="1"/>
  <c r="A478" i="122" s="1"/>
  <c r="A576" i="122" s="1"/>
  <c r="A674" i="122" s="1"/>
  <c r="M85" i="122"/>
  <c r="E183" i="122"/>
  <c r="E281" i="122" s="1"/>
  <c r="E379" i="122" s="1"/>
  <c r="E477" i="122" s="1"/>
  <c r="E575" i="122" s="1"/>
  <c r="E673" i="122" s="1"/>
  <c r="D183" i="122"/>
  <c r="D281" i="122" s="1"/>
  <c r="D379" i="122" s="1"/>
  <c r="D477" i="122" s="1"/>
  <c r="D575" i="122" s="1"/>
  <c r="D673" i="122" s="1"/>
  <c r="C183" i="122"/>
  <c r="C281" i="122" s="1"/>
  <c r="C379" i="122" s="1"/>
  <c r="C477" i="122" s="1"/>
  <c r="C575" i="122" s="1"/>
  <c r="C673" i="122" s="1"/>
  <c r="B183" i="122"/>
  <c r="B281" i="122" s="1"/>
  <c r="B379" i="122" s="1"/>
  <c r="B477" i="122" s="1"/>
  <c r="B575" i="122" s="1"/>
  <c r="B673" i="122" s="1"/>
  <c r="A183" i="122"/>
  <c r="A281" i="122" s="1"/>
  <c r="A379" i="122" s="1"/>
  <c r="A477" i="122" s="1"/>
  <c r="A575" i="122" s="1"/>
  <c r="A673" i="122" s="1"/>
  <c r="M84" i="122"/>
  <c r="E182" i="122"/>
  <c r="E280" i="122" s="1"/>
  <c r="E378" i="122" s="1"/>
  <c r="E476" i="122" s="1"/>
  <c r="E574" i="122" s="1"/>
  <c r="E672" i="122" s="1"/>
  <c r="D182" i="122"/>
  <c r="D280" i="122" s="1"/>
  <c r="D378" i="122" s="1"/>
  <c r="D476" i="122" s="1"/>
  <c r="D574" i="122" s="1"/>
  <c r="D672" i="122" s="1"/>
  <c r="B182" i="122"/>
  <c r="B280" i="122" s="1"/>
  <c r="B378" i="122" s="1"/>
  <c r="B476" i="122" s="1"/>
  <c r="B574" i="122" s="1"/>
  <c r="B672" i="122" s="1"/>
  <c r="A182" i="122"/>
  <c r="A280" i="122" s="1"/>
  <c r="A378" i="122" s="1"/>
  <c r="A476" i="122" s="1"/>
  <c r="A574" i="122" s="1"/>
  <c r="A672" i="122" s="1"/>
  <c r="M83" i="122"/>
  <c r="E181" i="122"/>
  <c r="E279" i="122" s="1"/>
  <c r="E377" i="122" s="1"/>
  <c r="E475" i="122" s="1"/>
  <c r="E573" i="122" s="1"/>
  <c r="E671" i="122" s="1"/>
  <c r="D181" i="122"/>
  <c r="D279" i="122" s="1"/>
  <c r="D377" i="122" s="1"/>
  <c r="D475" i="122" s="1"/>
  <c r="D573" i="122" s="1"/>
  <c r="D671" i="122" s="1"/>
  <c r="C181" i="122"/>
  <c r="C279" i="122" s="1"/>
  <c r="C377" i="122" s="1"/>
  <c r="C475" i="122" s="1"/>
  <c r="C573" i="122" s="1"/>
  <c r="C671" i="122" s="1"/>
  <c r="B181" i="122"/>
  <c r="B279" i="122" s="1"/>
  <c r="B377" i="122" s="1"/>
  <c r="B475" i="122" s="1"/>
  <c r="B573" i="122" s="1"/>
  <c r="B671" i="122" s="1"/>
  <c r="A181" i="122"/>
  <c r="A279" i="122" s="1"/>
  <c r="A377" i="122" s="1"/>
  <c r="A475" i="122" s="1"/>
  <c r="A573" i="122" s="1"/>
  <c r="A671" i="122" s="1"/>
  <c r="M82" i="122"/>
  <c r="E180" i="122"/>
  <c r="E278" i="122" s="1"/>
  <c r="E376" i="122" s="1"/>
  <c r="E474" i="122" s="1"/>
  <c r="E572" i="122" s="1"/>
  <c r="E670" i="122" s="1"/>
  <c r="D180" i="122"/>
  <c r="D278" i="122" s="1"/>
  <c r="D376" i="122" s="1"/>
  <c r="D474" i="122" s="1"/>
  <c r="D572" i="122" s="1"/>
  <c r="D670" i="122" s="1"/>
  <c r="C180" i="122"/>
  <c r="C278" i="122" s="1"/>
  <c r="C376" i="122" s="1"/>
  <c r="C474" i="122" s="1"/>
  <c r="C572" i="122" s="1"/>
  <c r="C670" i="122" s="1"/>
  <c r="B180" i="122"/>
  <c r="B278" i="122" s="1"/>
  <c r="B376" i="122" s="1"/>
  <c r="B474" i="122" s="1"/>
  <c r="B572" i="122" s="1"/>
  <c r="B670" i="122" s="1"/>
  <c r="A180" i="122"/>
  <c r="A278" i="122" s="1"/>
  <c r="A376" i="122" s="1"/>
  <c r="A474" i="122" s="1"/>
  <c r="A572" i="122" s="1"/>
  <c r="A670" i="122" s="1"/>
  <c r="M81" i="122"/>
  <c r="E179" i="122"/>
  <c r="E277" i="122" s="1"/>
  <c r="E375" i="122" s="1"/>
  <c r="E473" i="122" s="1"/>
  <c r="E571" i="122" s="1"/>
  <c r="E669" i="122" s="1"/>
  <c r="D179" i="122"/>
  <c r="D277" i="122" s="1"/>
  <c r="D375" i="122" s="1"/>
  <c r="D473" i="122" s="1"/>
  <c r="D571" i="122" s="1"/>
  <c r="D669" i="122" s="1"/>
  <c r="C179" i="122"/>
  <c r="C277" i="122" s="1"/>
  <c r="C375" i="122" s="1"/>
  <c r="C473" i="122" s="1"/>
  <c r="C571" i="122" s="1"/>
  <c r="C669" i="122" s="1"/>
  <c r="B179" i="122"/>
  <c r="B277" i="122" s="1"/>
  <c r="B375" i="122" s="1"/>
  <c r="B473" i="122" s="1"/>
  <c r="B571" i="122" s="1"/>
  <c r="B669" i="122" s="1"/>
  <c r="A179" i="122"/>
  <c r="A277" i="122" s="1"/>
  <c r="A375" i="122" s="1"/>
  <c r="A473" i="122" s="1"/>
  <c r="A571" i="122" s="1"/>
  <c r="A669" i="122" s="1"/>
  <c r="M80" i="122"/>
  <c r="E178" i="122"/>
  <c r="E276" i="122" s="1"/>
  <c r="E374" i="122" s="1"/>
  <c r="E472" i="122" s="1"/>
  <c r="E570" i="122" s="1"/>
  <c r="E668" i="122" s="1"/>
  <c r="D178" i="122"/>
  <c r="D276" i="122" s="1"/>
  <c r="D374" i="122" s="1"/>
  <c r="D472" i="122" s="1"/>
  <c r="D570" i="122" s="1"/>
  <c r="D668" i="122" s="1"/>
  <c r="C178" i="122"/>
  <c r="C276" i="122" s="1"/>
  <c r="C374" i="122" s="1"/>
  <c r="C472" i="122" s="1"/>
  <c r="C570" i="122" s="1"/>
  <c r="C668" i="122" s="1"/>
  <c r="B178" i="122"/>
  <c r="B276" i="122" s="1"/>
  <c r="B374" i="122" s="1"/>
  <c r="B472" i="122" s="1"/>
  <c r="B570" i="122" s="1"/>
  <c r="B668" i="122" s="1"/>
  <c r="A178" i="122"/>
  <c r="A276" i="122" s="1"/>
  <c r="A374" i="122" s="1"/>
  <c r="A472" i="122" s="1"/>
  <c r="A570" i="122" s="1"/>
  <c r="A668" i="122" s="1"/>
  <c r="M79" i="122"/>
  <c r="E177" i="122"/>
  <c r="E275" i="122" s="1"/>
  <c r="E373" i="122" s="1"/>
  <c r="E471" i="122" s="1"/>
  <c r="E569" i="122" s="1"/>
  <c r="E667" i="122" s="1"/>
  <c r="D177" i="122"/>
  <c r="D275" i="122" s="1"/>
  <c r="D373" i="122" s="1"/>
  <c r="D471" i="122" s="1"/>
  <c r="D569" i="122" s="1"/>
  <c r="D667" i="122" s="1"/>
  <c r="C177" i="122"/>
  <c r="C275" i="122" s="1"/>
  <c r="C373" i="122" s="1"/>
  <c r="C471" i="122" s="1"/>
  <c r="C569" i="122" s="1"/>
  <c r="C667" i="122" s="1"/>
  <c r="B177" i="122"/>
  <c r="B275" i="122" s="1"/>
  <c r="B373" i="122" s="1"/>
  <c r="B471" i="122" s="1"/>
  <c r="B569" i="122" s="1"/>
  <c r="B667" i="122" s="1"/>
  <c r="A177" i="122"/>
  <c r="A275" i="122" s="1"/>
  <c r="A373" i="122" s="1"/>
  <c r="A471" i="122" s="1"/>
  <c r="A569" i="122" s="1"/>
  <c r="A667" i="122" s="1"/>
  <c r="M78" i="122"/>
  <c r="E176" i="122"/>
  <c r="E274" i="122" s="1"/>
  <c r="E372" i="122" s="1"/>
  <c r="E470" i="122" s="1"/>
  <c r="E568" i="122" s="1"/>
  <c r="E666" i="122" s="1"/>
  <c r="D176" i="122"/>
  <c r="D274" i="122" s="1"/>
  <c r="D372" i="122" s="1"/>
  <c r="D470" i="122" s="1"/>
  <c r="D568" i="122" s="1"/>
  <c r="D666" i="122" s="1"/>
  <c r="C176" i="122"/>
  <c r="C274" i="122" s="1"/>
  <c r="C372" i="122" s="1"/>
  <c r="C470" i="122" s="1"/>
  <c r="C568" i="122" s="1"/>
  <c r="C666" i="122" s="1"/>
  <c r="B176" i="122"/>
  <c r="B274" i="122" s="1"/>
  <c r="B372" i="122" s="1"/>
  <c r="B470" i="122" s="1"/>
  <c r="B568" i="122" s="1"/>
  <c r="B666" i="122" s="1"/>
  <c r="A176" i="122"/>
  <c r="A274" i="122" s="1"/>
  <c r="A372" i="122" s="1"/>
  <c r="A470" i="122" s="1"/>
  <c r="A568" i="122" s="1"/>
  <c r="A666" i="122" s="1"/>
  <c r="M77" i="122"/>
  <c r="E175" i="122"/>
  <c r="D175" i="122"/>
  <c r="D273" i="122" s="1"/>
  <c r="D371" i="122" s="1"/>
  <c r="D469" i="122" s="1"/>
  <c r="D567" i="122" s="1"/>
  <c r="D665" i="122" s="1"/>
  <c r="C175" i="122"/>
  <c r="C273" i="122" s="1"/>
  <c r="C371" i="122" s="1"/>
  <c r="C469" i="122" s="1"/>
  <c r="C567" i="122" s="1"/>
  <c r="C665" i="122" s="1"/>
  <c r="B175" i="122"/>
  <c r="B273" i="122" s="1"/>
  <c r="B371" i="122" s="1"/>
  <c r="B469" i="122" s="1"/>
  <c r="B567" i="122" s="1"/>
  <c r="B665" i="122" s="1"/>
  <c r="A175" i="122"/>
  <c r="A273" i="122" s="1"/>
  <c r="A371" i="122" s="1"/>
  <c r="A469" i="122" s="1"/>
  <c r="A567" i="122" s="1"/>
  <c r="A665" i="122" s="1"/>
  <c r="M76" i="122"/>
  <c r="E174" i="122"/>
  <c r="E272" i="122" s="1"/>
  <c r="E370" i="122" s="1"/>
  <c r="E468" i="122" s="1"/>
  <c r="E566" i="122" s="1"/>
  <c r="E664" i="122" s="1"/>
  <c r="D174" i="122"/>
  <c r="D272" i="122" s="1"/>
  <c r="D370" i="122" s="1"/>
  <c r="D468" i="122" s="1"/>
  <c r="D566" i="122" s="1"/>
  <c r="D664" i="122" s="1"/>
  <c r="C174" i="122"/>
  <c r="C272" i="122" s="1"/>
  <c r="C370" i="122" s="1"/>
  <c r="C468" i="122" s="1"/>
  <c r="C566" i="122" s="1"/>
  <c r="C664" i="122" s="1"/>
  <c r="B174" i="122"/>
  <c r="B272" i="122" s="1"/>
  <c r="B370" i="122" s="1"/>
  <c r="B468" i="122" s="1"/>
  <c r="B566" i="122" s="1"/>
  <c r="B664" i="122" s="1"/>
  <c r="A174" i="122"/>
  <c r="A272" i="122" s="1"/>
  <c r="A370" i="122" s="1"/>
  <c r="A468" i="122" s="1"/>
  <c r="A566" i="122" s="1"/>
  <c r="A664" i="122" s="1"/>
  <c r="M75" i="122"/>
  <c r="E173" i="122"/>
  <c r="D173" i="122"/>
  <c r="D271" i="122" s="1"/>
  <c r="D369" i="122" s="1"/>
  <c r="D467" i="122" s="1"/>
  <c r="D565" i="122" s="1"/>
  <c r="D663" i="122" s="1"/>
  <c r="C173" i="122"/>
  <c r="C271" i="122" s="1"/>
  <c r="C369" i="122" s="1"/>
  <c r="C467" i="122" s="1"/>
  <c r="C565" i="122" s="1"/>
  <c r="C663" i="122" s="1"/>
  <c r="B173" i="122"/>
  <c r="B271" i="122" s="1"/>
  <c r="B369" i="122" s="1"/>
  <c r="B467" i="122" s="1"/>
  <c r="B565" i="122" s="1"/>
  <c r="B663" i="122" s="1"/>
  <c r="A173" i="122"/>
  <c r="A271" i="122" s="1"/>
  <c r="A369" i="122" s="1"/>
  <c r="A467" i="122" s="1"/>
  <c r="A565" i="122" s="1"/>
  <c r="A663" i="122" s="1"/>
  <c r="M74" i="122"/>
  <c r="E172" i="122"/>
  <c r="E270" i="122" s="1"/>
  <c r="E368" i="122" s="1"/>
  <c r="E466" i="122" s="1"/>
  <c r="E564" i="122" s="1"/>
  <c r="E662" i="122" s="1"/>
  <c r="D172" i="122"/>
  <c r="D270" i="122" s="1"/>
  <c r="D368" i="122" s="1"/>
  <c r="D466" i="122" s="1"/>
  <c r="D564" i="122" s="1"/>
  <c r="D662" i="122" s="1"/>
  <c r="C172" i="122"/>
  <c r="C270" i="122" s="1"/>
  <c r="C368" i="122" s="1"/>
  <c r="C466" i="122" s="1"/>
  <c r="C564" i="122" s="1"/>
  <c r="C662" i="122" s="1"/>
  <c r="B172" i="122"/>
  <c r="B270" i="122" s="1"/>
  <c r="B368" i="122" s="1"/>
  <c r="B466" i="122" s="1"/>
  <c r="B564" i="122" s="1"/>
  <c r="B662" i="122" s="1"/>
  <c r="A172" i="122"/>
  <c r="A270" i="122" s="1"/>
  <c r="A368" i="122" s="1"/>
  <c r="A466" i="122" s="1"/>
  <c r="A564" i="122" s="1"/>
  <c r="A662" i="122" s="1"/>
  <c r="M73" i="122"/>
  <c r="E171" i="122"/>
  <c r="E269" i="122" s="1"/>
  <c r="E367" i="122" s="1"/>
  <c r="E465" i="122" s="1"/>
  <c r="E563" i="122" s="1"/>
  <c r="E661" i="122" s="1"/>
  <c r="D171" i="122"/>
  <c r="D269" i="122" s="1"/>
  <c r="D367" i="122" s="1"/>
  <c r="D465" i="122" s="1"/>
  <c r="D563" i="122" s="1"/>
  <c r="D661" i="122" s="1"/>
  <c r="C171" i="122"/>
  <c r="C269" i="122" s="1"/>
  <c r="C367" i="122" s="1"/>
  <c r="C465" i="122" s="1"/>
  <c r="C563" i="122" s="1"/>
  <c r="C661" i="122" s="1"/>
  <c r="B171" i="122"/>
  <c r="B269" i="122" s="1"/>
  <c r="B367" i="122" s="1"/>
  <c r="B465" i="122" s="1"/>
  <c r="B563" i="122" s="1"/>
  <c r="B661" i="122" s="1"/>
  <c r="A171" i="122"/>
  <c r="A269" i="122" s="1"/>
  <c r="A367" i="122" s="1"/>
  <c r="A465" i="122" s="1"/>
  <c r="A563" i="122" s="1"/>
  <c r="A661" i="122" s="1"/>
  <c r="M72" i="122"/>
  <c r="E170" i="122"/>
  <c r="E268" i="122" s="1"/>
  <c r="E366" i="122" s="1"/>
  <c r="E464" i="122" s="1"/>
  <c r="E562" i="122" s="1"/>
  <c r="E660" i="122" s="1"/>
  <c r="D170" i="122"/>
  <c r="D268" i="122" s="1"/>
  <c r="D366" i="122" s="1"/>
  <c r="D464" i="122" s="1"/>
  <c r="D562" i="122" s="1"/>
  <c r="D660" i="122" s="1"/>
  <c r="C170" i="122"/>
  <c r="C268" i="122" s="1"/>
  <c r="C366" i="122" s="1"/>
  <c r="C464" i="122" s="1"/>
  <c r="C562" i="122" s="1"/>
  <c r="C660" i="122" s="1"/>
  <c r="B170" i="122"/>
  <c r="B268" i="122" s="1"/>
  <c r="B366" i="122" s="1"/>
  <c r="B464" i="122" s="1"/>
  <c r="B562" i="122" s="1"/>
  <c r="B660" i="122" s="1"/>
  <c r="A170" i="122"/>
  <c r="A268" i="122" s="1"/>
  <c r="A366" i="122" s="1"/>
  <c r="A464" i="122" s="1"/>
  <c r="A562" i="122" s="1"/>
  <c r="A660" i="122" s="1"/>
  <c r="M71" i="122"/>
  <c r="E169" i="122"/>
  <c r="E267" i="122" s="1"/>
  <c r="E365" i="122" s="1"/>
  <c r="E463" i="122" s="1"/>
  <c r="E561" i="122" s="1"/>
  <c r="E659" i="122" s="1"/>
  <c r="D169" i="122"/>
  <c r="D267" i="122" s="1"/>
  <c r="D365" i="122" s="1"/>
  <c r="D463" i="122" s="1"/>
  <c r="D561" i="122" s="1"/>
  <c r="D659" i="122" s="1"/>
  <c r="C169" i="122"/>
  <c r="C267" i="122" s="1"/>
  <c r="C365" i="122" s="1"/>
  <c r="C463" i="122" s="1"/>
  <c r="C561" i="122" s="1"/>
  <c r="C659" i="122" s="1"/>
  <c r="B169" i="122"/>
  <c r="B267" i="122" s="1"/>
  <c r="B365" i="122" s="1"/>
  <c r="B463" i="122" s="1"/>
  <c r="B561" i="122" s="1"/>
  <c r="B659" i="122" s="1"/>
  <c r="A169" i="122"/>
  <c r="A267" i="122" s="1"/>
  <c r="M70" i="122"/>
  <c r="E168" i="122"/>
  <c r="E266" i="122" s="1"/>
  <c r="E364" i="122" s="1"/>
  <c r="E462" i="122" s="1"/>
  <c r="E560" i="122" s="1"/>
  <c r="E658" i="122" s="1"/>
  <c r="D168" i="122"/>
  <c r="D266" i="122" s="1"/>
  <c r="D364" i="122" s="1"/>
  <c r="D462" i="122" s="1"/>
  <c r="D560" i="122" s="1"/>
  <c r="D658" i="122" s="1"/>
  <c r="C168" i="122"/>
  <c r="C266" i="122" s="1"/>
  <c r="C364" i="122" s="1"/>
  <c r="C462" i="122" s="1"/>
  <c r="C560" i="122" s="1"/>
  <c r="C658" i="122" s="1"/>
  <c r="B168" i="122"/>
  <c r="B266" i="122" s="1"/>
  <c r="B364" i="122" s="1"/>
  <c r="B462" i="122" s="1"/>
  <c r="B560" i="122" s="1"/>
  <c r="B658" i="122" s="1"/>
  <c r="A168" i="122"/>
  <c r="A266" i="122" s="1"/>
  <c r="A364" i="122" s="1"/>
  <c r="A462" i="122" s="1"/>
  <c r="A560" i="122" s="1"/>
  <c r="A658" i="122" s="1"/>
  <c r="M69" i="122"/>
  <c r="E167" i="122"/>
  <c r="E265" i="122" s="1"/>
  <c r="E363" i="122" s="1"/>
  <c r="E461" i="122" s="1"/>
  <c r="E559" i="122" s="1"/>
  <c r="E657" i="122" s="1"/>
  <c r="D167" i="122"/>
  <c r="D265" i="122" s="1"/>
  <c r="D363" i="122" s="1"/>
  <c r="D461" i="122" s="1"/>
  <c r="D559" i="122" s="1"/>
  <c r="D657" i="122" s="1"/>
  <c r="C167" i="122"/>
  <c r="C265" i="122" s="1"/>
  <c r="C363" i="122" s="1"/>
  <c r="C461" i="122" s="1"/>
  <c r="C559" i="122" s="1"/>
  <c r="C657" i="122" s="1"/>
  <c r="B167" i="122"/>
  <c r="B265" i="122" s="1"/>
  <c r="B363" i="122" s="1"/>
  <c r="B461" i="122" s="1"/>
  <c r="B559" i="122" s="1"/>
  <c r="B657" i="122" s="1"/>
  <c r="A167" i="122"/>
  <c r="A265" i="122" s="1"/>
  <c r="A363" i="122" s="1"/>
  <c r="A461" i="122" s="1"/>
  <c r="A559" i="122" s="1"/>
  <c r="A657" i="122" s="1"/>
  <c r="M68" i="122"/>
  <c r="E166" i="122"/>
  <c r="E264" i="122" s="1"/>
  <c r="E362" i="122" s="1"/>
  <c r="E460" i="122" s="1"/>
  <c r="E558" i="122" s="1"/>
  <c r="E656" i="122" s="1"/>
  <c r="D166" i="122"/>
  <c r="D264" i="122" s="1"/>
  <c r="D362" i="122" s="1"/>
  <c r="D460" i="122" s="1"/>
  <c r="D558" i="122" s="1"/>
  <c r="D656" i="122" s="1"/>
  <c r="C166" i="122"/>
  <c r="C264" i="122" s="1"/>
  <c r="C362" i="122" s="1"/>
  <c r="C460" i="122" s="1"/>
  <c r="C558" i="122" s="1"/>
  <c r="C656" i="122" s="1"/>
  <c r="B166" i="122"/>
  <c r="B264" i="122" s="1"/>
  <c r="B362" i="122" s="1"/>
  <c r="B460" i="122" s="1"/>
  <c r="B558" i="122" s="1"/>
  <c r="B656" i="122" s="1"/>
  <c r="A166" i="122"/>
  <c r="A264" i="122" s="1"/>
  <c r="A362" i="122" s="1"/>
  <c r="A460" i="122" s="1"/>
  <c r="A558" i="122" s="1"/>
  <c r="A656" i="122" s="1"/>
  <c r="M67" i="122"/>
  <c r="E165" i="122"/>
  <c r="E263" i="122" s="1"/>
  <c r="E361" i="122" s="1"/>
  <c r="E459" i="122" s="1"/>
  <c r="E557" i="122" s="1"/>
  <c r="E655" i="122" s="1"/>
  <c r="D165" i="122"/>
  <c r="D263" i="122" s="1"/>
  <c r="D361" i="122" s="1"/>
  <c r="D459" i="122" s="1"/>
  <c r="D557" i="122" s="1"/>
  <c r="D655" i="122" s="1"/>
  <c r="C165" i="122"/>
  <c r="C263" i="122" s="1"/>
  <c r="C361" i="122" s="1"/>
  <c r="C459" i="122" s="1"/>
  <c r="C557" i="122" s="1"/>
  <c r="C655" i="122" s="1"/>
  <c r="B165" i="122"/>
  <c r="B263" i="122" s="1"/>
  <c r="B361" i="122" s="1"/>
  <c r="B459" i="122" s="1"/>
  <c r="B557" i="122" s="1"/>
  <c r="B655" i="122" s="1"/>
  <c r="A165" i="122"/>
  <c r="A263" i="122" s="1"/>
  <c r="A361" i="122" s="1"/>
  <c r="A459" i="122" s="1"/>
  <c r="A557" i="122" s="1"/>
  <c r="A655" i="122" s="1"/>
  <c r="M66" i="122"/>
  <c r="E164" i="122"/>
  <c r="E262" i="122" s="1"/>
  <c r="E360" i="122" s="1"/>
  <c r="E458" i="122" s="1"/>
  <c r="E556" i="122" s="1"/>
  <c r="E654" i="122" s="1"/>
  <c r="D164" i="122"/>
  <c r="D262" i="122" s="1"/>
  <c r="D360" i="122" s="1"/>
  <c r="D458" i="122" s="1"/>
  <c r="D556" i="122" s="1"/>
  <c r="D654" i="122" s="1"/>
  <c r="C164" i="122"/>
  <c r="C262" i="122" s="1"/>
  <c r="C360" i="122" s="1"/>
  <c r="C458" i="122" s="1"/>
  <c r="C556" i="122" s="1"/>
  <c r="C654" i="122" s="1"/>
  <c r="B164" i="122"/>
  <c r="B262" i="122" s="1"/>
  <c r="B360" i="122" s="1"/>
  <c r="B458" i="122" s="1"/>
  <c r="B556" i="122" s="1"/>
  <c r="B654" i="122" s="1"/>
  <c r="A164" i="122"/>
  <c r="A262" i="122" s="1"/>
  <c r="A360" i="122" s="1"/>
  <c r="A458" i="122" s="1"/>
  <c r="A556" i="122" s="1"/>
  <c r="A654" i="122" s="1"/>
  <c r="M65" i="122"/>
  <c r="E163" i="122"/>
  <c r="E261" i="122" s="1"/>
  <c r="E359" i="122" s="1"/>
  <c r="E457" i="122" s="1"/>
  <c r="E555" i="122" s="1"/>
  <c r="E653" i="122" s="1"/>
  <c r="D163" i="122"/>
  <c r="D261" i="122" s="1"/>
  <c r="D359" i="122" s="1"/>
  <c r="D457" i="122" s="1"/>
  <c r="D555" i="122" s="1"/>
  <c r="D653" i="122" s="1"/>
  <c r="C163" i="122"/>
  <c r="C261" i="122" s="1"/>
  <c r="C359" i="122" s="1"/>
  <c r="C457" i="122" s="1"/>
  <c r="C555" i="122" s="1"/>
  <c r="C653" i="122" s="1"/>
  <c r="B163" i="122"/>
  <c r="B261" i="122" s="1"/>
  <c r="B359" i="122" s="1"/>
  <c r="B457" i="122" s="1"/>
  <c r="B555" i="122" s="1"/>
  <c r="B653" i="122" s="1"/>
  <c r="A163" i="122"/>
  <c r="A261" i="122" s="1"/>
  <c r="A359" i="122" s="1"/>
  <c r="A457" i="122" s="1"/>
  <c r="A555" i="122" s="1"/>
  <c r="A653" i="122" s="1"/>
  <c r="M64" i="122"/>
  <c r="E162" i="122"/>
  <c r="E260" i="122" s="1"/>
  <c r="E358" i="122" s="1"/>
  <c r="E456" i="122" s="1"/>
  <c r="E554" i="122" s="1"/>
  <c r="E652" i="122" s="1"/>
  <c r="D162" i="122"/>
  <c r="D260" i="122" s="1"/>
  <c r="D358" i="122" s="1"/>
  <c r="D456" i="122" s="1"/>
  <c r="D554" i="122" s="1"/>
  <c r="D652" i="122" s="1"/>
  <c r="C162" i="122"/>
  <c r="C260" i="122" s="1"/>
  <c r="C358" i="122" s="1"/>
  <c r="C456" i="122" s="1"/>
  <c r="C554" i="122" s="1"/>
  <c r="C652" i="122" s="1"/>
  <c r="B162" i="122"/>
  <c r="A162" i="122"/>
  <c r="A260" i="122" s="1"/>
  <c r="A358" i="122" s="1"/>
  <c r="A456" i="122" s="1"/>
  <c r="A554" i="122" s="1"/>
  <c r="A652" i="122" s="1"/>
  <c r="M63" i="122"/>
  <c r="E161" i="122"/>
  <c r="E259" i="122" s="1"/>
  <c r="E357" i="122" s="1"/>
  <c r="E455" i="122" s="1"/>
  <c r="E553" i="122" s="1"/>
  <c r="E651" i="122" s="1"/>
  <c r="D161" i="122"/>
  <c r="D259" i="122" s="1"/>
  <c r="D357" i="122" s="1"/>
  <c r="D455" i="122" s="1"/>
  <c r="D553" i="122" s="1"/>
  <c r="D651" i="122" s="1"/>
  <c r="C161" i="122"/>
  <c r="C259" i="122" s="1"/>
  <c r="C357" i="122" s="1"/>
  <c r="C455" i="122" s="1"/>
  <c r="C553" i="122" s="1"/>
  <c r="C651" i="122" s="1"/>
  <c r="B161" i="122"/>
  <c r="B259" i="122" s="1"/>
  <c r="B357" i="122" s="1"/>
  <c r="B455" i="122" s="1"/>
  <c r="B553" i="122" s="1"/>
  <c r="B651" i="122" s="1"/>
  <c r="A161" i="122"/>
  <c r="A259" i="122" s="1"/>
  <c r="M62" i="122"/>
  <c r="E160" i="122"/>
  <c r="E258" i="122" s="1"/>
  <c r="E356" i="122" s="1"/>
  <c r="E454" i="122" s="1"/>
  <c r="E552" i="122" s="1"/>
  <c r="E650" i="122" s="1"/>
  <c r="D160" i="122"/>
  <c r="D258" i="122" s="1"/>
  <c r="D356" i="122" s="1"/>
  <c r="D454" i="122" s="1"/>
  <c r="D552" i="122" s="1"/>
  <c r="D650" i="122" s="1"/>
  <c r="B160" i="122"/>
  <c r="B258" i="122" s="1"/>
  <c r="B356" i="122" s="1"/>
  <c r="B454" i="122" s="1"/>
  <c r="B552" i="122" s="1"/>
  <c r="B650" i="122" s="1"/>
  <c r="A160" i="122"/>
  <c r="A258" i="122" s="1"/>
  <c r="A356" i="122" s="1"/>
  <c r="A454" i="122" s="1"/>
  <c r="A552" i="122" s="1"/>
  <c r="A650" i="122" s="1"/>
  <c r="M61" i="122"/>
  <c r="E159" i="122"/>
  <c r="E257" i="122" s="1"/>
  <c r="E355" i="122" s="1"/>
  <c r="E453" i="122" s="1"/>
  <c r="E551" i="122" s="1"/>
  <c r="E649" i="122" s="1"/>
  <c r="D159" i="122"/>
  <c r="D257" i="122" s="1"/>
  <c r="D355" i="122" s="1"/>
  <c r="D453" i="122" s="1"/>
  <c r="D551" i="122" s="1"/>
  <c r="D649" i="122" s="1"/>
  <c r="C159" i="122"/>
  <c r="C257" i="122" s="1"/>
  <c r="C355" i="122" s="1"/>
  <c r="C453" i="122" s="1"/>
  <c r="C551" i="122" s="1"/>
  <c r="C649" i="122" s="1"/>
  <c r="B159" i="122"/>
  <c r="B257" i="122" s="1"/>
  <c r="B355" i="122" s="1"/>
  <c r="B453" i="122" s="1"/>
  <c r="B551" i="122" s="1"/>
  <c r="B649" i="122" s="1"/>
  <c r="A159" i="122"/>
  <c r="A257" i="122" s="1"/>
  <c r="A355" i="122" s="1"/>
  <c r="A453" i="122" s="1"/>
  <c r="A551" i="122" s="1"/>
  <c r="A649" i="122" s="1"/>
  <c r="M60" i="122"/>
  <c r="E158" i="122"/>
  <c r="E256" i="122" s="1"/>
  <c r="E354" i="122" s="1"/>
  <c r="E452" i="122" s="1"/>
  <c r="E550" i="122" s="1"/>
  <c r="E648" i="122" s="1"/>
  <c r="D158" i="122"/>
  <c r="D256" i="122" s="1"/>
  <c r="D354" i="122" s="1"/>
  <c r="D452" i="122" s="1"/>
  <c r="D550" i="122" s="1"/>
  <c r="D648" i="122" s="1"/>
  <c r="C158" i="122"/>
  <c r="C256" i="122" s="1"/>
  <c r="C354" i="122" s="1"/>
  <c r="C452" i="122" s="1"/>
  <c r="C550" i="122" s="1"/>
  <c r="C648" i="122" s="1"/>
  <c r="B158" i="122"/>
  <c r="B256" i="122" s="1"/>
  <c r="B354" i="122" s="1"/>
  <c r="B452" i="122" s="1"/>
  <c r="B550" i="122" s="1"/>
  <c r="B648" i="122" s="1"/>
  <c r="A158" i="122"/>
  <c r="A256" i="122" s="1"/>
  <c r="A354" i="122" s="1"/>
  <c r="A452" i="122" s="1"/>
  <c r="A550" i="122" s="1"/>
  <c r="A648" i="122" s="1"/>
  <c r="M59" i="122"/>
  <c r="E157" i="122"/>
  <c r="E255" i="122" s="1"/>
  <c r="E353" i="122" s="1"/>
  <c r="E451" i="122" s="1"/>
  <c r="E549" i="122" s="1"/>
  <c r="E647" i="122" s="1"/>
  <c r="D157" i="122"/>
  <c r="D255" i="122" s="1"/>
  <c r="D353" i="122" s="1"/>
  <c r="D451" i="122" s="1"/>
  <c r="D549" i="122" s="1"/>
  <c r="D647" i="122" s="1"/>
  <c r="C157" i="122"/>
  <c r="C255" i="122" s="1"/>
  <c r="C353" i="122" s="1"/>
  <c r="C451" i="122" s="1"/>
  <c r="C549" i="122" s="1"/>
  <c r="C647" i="122" s="1"/>
  <c r="M58" i="122"/>
  <c r="E156" i="122"/>
  <c r="E254" i="122" s="1"/>
  <c r="E352" i="122" s="1"/>
  <c r="E450" i="122" s="1"/>
  <c r="E548" i="122" s="1"/>
  <c r="E646" i="122" s="1"/>
  <c r="D156" i="122"/>
  <c r="D254" i="122" s="1"/>
  <c r="D352" i="122" s="1"/>
  <c r="D450" i="122" s="1"/>
  <c r="D548" i="122" s="1"/>
  <c r="D646" i="122" s="1"/>
  <c r="C156" i="122"/>
  <c r="C254" i="122" s="1"/>
  <c r="C352" i="122" s="1"/>
  <c r="C450" i="122" s="1"/>
  <c r="C548" i="122" s="1"/>
  <c r="C646" i="122" s="1"/>
  <c r="B156" i="122"/>
  <c r="B254" i="122" s="1"/>
  <c r="B352" i="122" s="1"/>
  <c r="B450" i="122" s="1"/>
  <c r="B548" i="122" s="1"/>
  <c r="B646" i="122" s="1"/>
  <c r="A156" i="122"/>
  <c r="M57" i="122"/>
  <c r="E155" i="122"/>
  <c r="E253" i="122" s="1"/>
  <c r="E351" i="122" s="1"/>
  <c r="E449" i="122" s="1"/>
  <c r="E547" i="122" s="1"/>
  <c r="E645" i="122" s="1"/>
  <c r="D155" i="122"/>
  <c r="D253" i="122" s="1"/>
  <c r="D351" i="122" s="1"/>
  <c r="D449" i="122" s="1"/>
  <c r="D547" i="122" s="1"/>
  <c r="D645" i="122" s="1"/>
  <c r="C155" i="122"/>
  <c r="C253" i="122" s="1"/>
  <c r="C351" i="122" s="1"/>
  <c r="C449" i="122" s="1"/>
  <c r="C547" i="122" s="1"/>
  <c r="C645" i="122" s="1"/>
  <c r="B155" i="122"/>
  <c r="B253" i="122" s="1"/>
  <c r="B351" i="122" s="1"/>
  <c r="B449" i="122" s="1"/>
  <c r="B547" i="122" s="1"/>
  <c r="B645" i="122" s="1"/>
  <c r="A155" i="122"/>
  <c r="A253" i="122" s="1"/>
  <c r="A351" i="122" s="1"/>
  <c r="A449" i="122" s="1"/>
  <c r="A547" i="122" s="1"/>
  <c r="A645" i="122" s="1"/>
  <c r="M56" i="122"/>
  <c r="E154" i="122"/>
  <c r="E252" i="122" s="1"/>
  <c r="E350" i="122" s="1"/>
  <c r="E448" i="122" s="1"/>
  <c r="E546" i="122" s="1"/>
  <c r="E644" i="122" s="1"/>
  <c r="D154" i="122"/>
  <c r="D252" i="122" s="1"/>
  <c r="D350" i="122" s="1"/>
  <c r="D448" i="122" s="1"/>
  <c r="D546" i="122" s="1"/>
  <c r="D644" i="122" s="1"/>
  <c r="C154" i="122"/>
  <c r="C252" i="122" s="1"/>
  <c r="C350" i="122" s="1"/>
  <c r="C448" i="122" s="1"/>
  <c r="C546" i="122" s="1"/>
  <c r="C644" i="122" s="1"/>
  <c r="B154" i="122"/>
  <c r="B252" i="122" s="1"/>
  <c r="B350" i="122" s="1"/>
  <c r="B448" i="122" s="1"/>
  <c r="B546" i="122" s="1"/>
  <c r="B644" i="122" s="1"/>
  <c r="A154" i="122"/>
  <c r="A252" i="122" s="1"/>
  <c r="A350" i="122" s="1"/>
  <c r="A448" i="122" s="1"/>
  <c r="A546" i="122" s="1"/>
  <c r="A644" i="122" s="1"/>
  <c r="M55" i="122"/>
  <c r="E153" i="122"/>
  <c r="E251" i="122" s="1"/>
  <c r="E349" i="122" s="1"/>
  <c r="E447" i="122" s="1"/>
  <c r="E545" i="122" s="1"/>
  <c r="E643" i="122" s="1"/>
  <c r="D153" i="122"/>
  <c r="D251" i="122" s="1"/>
  <c r="D349" i="122" s="1"/>
  <c r="D447" i="122" s="1"/>
  <c r="D545" i="122" s="1"/>
  <c r="D643" i="122" s="1"/>
  <c r="C153" i="122"/>
  <c r="C251" i="122" s="1"/>
  <c r="C349" i="122" s="1"/>
  <c r="C447" i="122" s="1"/>
  <c r="C545" i="122" s="1"/>
  <c r="C643" i="122" s="1"/>
  <c r="B153" i="122"/>
  <c r="B251" i="122" s="1"/>
  <c r="B349" i="122" s="1"/>
  <c r="B447" i="122" s="1"/>
  <c r="B545" i="122" s="1"/>
  <c r="B643" i="122" s="1"/>
  <c r="A153" i="122"/>
  <c r="A251" i="122" s="1"/>
  <c r="A349" i="122" s="1"/>
  <c r="A447" i="122" s="1"/>
  <c r="A545" i="122" s="1"/>
  <c r="A643" i="122" s="1"/>
  <c r="M54" i="122"/>
  <c r="E152" i="122"/>
  <c r="E250" i="122" s="1"/>
  <c r="E348" i="122" s="1"/>
  <c r="E446" i="122" s="1"/>
  <c r="E544" i="122" s="1"/>
  <c r="E642" i="122" s="1"/>
  <c r="D152" i="122"/>
  <c r="D250" i="122" s="1"/>
  <c r="D348" i="122" s="1"/>
  <c r="D446" i="122" s="1"/>
  <c r="D544" i="122" s="1"/>
  <c r="D642" i="122" s="1"/>
  <c r="C152" i="122"/>
  <c r="C250" i="122" s="1"/>
  <c r="C348" i="122" s="1"/>
  <c r="C446" i="122" s="1"/>
  <c r="C544" i="122" s="1"/>
  <c r="C642" i="122" s="1"/>
  <c r="B152" i="122"/>
  <c r="B250" i="122" s="1"/>
  <c r="B348" i="122" s="1"/>
  <c r="B446" i="122" s="1"/>
  <c r="B544" i="122" s="1"/>
  <c r="B642" i="122" s="1"/>
  <c r="A152" i="122"/>
  <c r="A250" i="122" s="1"/>
  <c r="A348" i="122" s="1"/>
  <c r="A446" i="122" s="1"/>
  <c r="A544" i="122" s="1"/>
  <c r="A642" i="122" s="1"/>
  <c r="M53" i="122"/>
  <c r="E151" i="122"/>
  <c r="E249" i="122" s="1"/>
  <c r="E347" i="122" s="1"/>
  <c r="E445" i="122" s="1"/>
  <c r="E543" i="122" s="1"/>
  <c r="E641" i="122" s="1"/>
  <c r="D151" i="122"/>
  <c r="D249" i="122" s="1"/>
  <c r="D347" i="122" s="1"/>
  <c r="D445" i="122" s="1"/>
  <c r="D543" i="122" s="1"/>
  <c r="D641" i="122" s="1"/>
  <c r="C151" i="122"/>
  <c r="C249" i="122" s="1"/>
  <c r="C347" i="122" s="1"/>
  <c r="C445" i="122" s="1"/>
  <c r="C543" i="122" s="1"/>
  <c r="C641" i="122" s="1"/>
  <c r="B151" i="122"/>
  <c r="B249" i="122" s="1"/>
  <c r="B347" i="122" s="1"/>
  <c r="B445" i="122" s="1"/>
  <c r="B543" i="122" s="1"/>
  <c r="B641" i="122" s="1"/>
  <c r="A151" i="122"/>
  <c r="A249" i="122" s="1"/>
  <c r="A347" i="122" s="1"/>
  <c r="A445" i="122" s="1"/>
  <c r="A543" i="122" s="1"/>
  <c r="A641" i="122" s="1"/>
  <c r="M52" i="122"/>
  <c r="E150" i="122"/>
  <c r="E248" i="122" s="1"/>
  <c r="E346" i="122" s="1"/>
  <c r="E444" i="122" s="1"/>
  <c r="E542" i="122" s="1"/>
  <c r="E640" i="122" s="1"/>
  <c r="D150" i="122"/>
  <c r="D248" i="122" s="1"/>
  <c r="D346" i="122" s="1"/>
  <c r="D444" i="122" s="1"/>
  <c r="D542" i="122" s="1"/>
  <c r="D640" i="122" s="1"/>
  <c r="C150" i="122"/>
  <c r="C248" i="122" s="1"/>
  <c r="C346" i="122" s="1"/>
  <c r="C444" i="122" s="1"/>
  <c r="C542" i="122" s="1"/>
  <c r="C640" i="122" s="1"/>
  <c r="B150" i="122"/>
  <c r="B248" i="122" s="1"/>
  <c r="B346" i="122" s="1"/>
  <c r="B444" i="122" s="1"/>
  <c r="B542" i="122" s="1"/>
  <c r="B640" i="122" s="1"/>
  <c r="A150" i="122"/>
  <c r="A248" i="122" s="1"/>
  <c r="A346" i="122" s="1"/>
  <c r="A444" i="122" s="1"/>
  <c r="A542" i="122" s="1"/>
  <c r="A640" i="122" s="1"/>
  <c r="M51" i="122"/>
  <c r="E149" i="122"/>
  <c r="E247" i="122" s="1"/>
  <c r="E345" i="122" s="1"/>
  <c r="E443" i="122" s="1"/>
  <c r="E541" i="122" s="1"/>
  <c r="E639" i="122" s="1"/>
  <c r="D149" i="122"/>
  <c r="D247" i="122" s="1"/>
  <c r="D345" i="122" s="1"/>
  <c r="D443" i="122" s="1"/>
  <c r="D541" i="122" s="1"/>
  <c r="D639" i="122" s="1"/>
  <c r="C149" i="122"/>
  <c r="C247" i="122" s="1"/>
  <c r="C345" i="122" s="1"/>
  <c r="C443" i="122" s="1"/>
  <c r="C541" i="122" s="1"/>
  <c r="C639" i="122" s="1"/>
  <c r="B149" i="122"/>
  <c r="B247" i="122" s="1"/>
  <c r="B345" i="122" s="1"/>
  <c r="B443" i="122" s="1"/>
  <c r="B541" i="122" s="1"/>
  <c r="B639" i="122" s="1"/>
  <c r="A149" i="122"/>
  <c r="A247" i="122" s="1"/>
  <c r="A345" i="122" s="1"/>
  <c r="A443" i="122" s="1"/>
  <c r="A541" i="122" s="1"/>
  <c r="A639" i="122" s="1"/>
  <c r="M50" i="122"/>
  <c r="E148" i="122"/>
  <c r="E246" i="122" s="1"/>
  <c r="E344" i="122" s="1"/>
  <c r="E442" i="122" s="1"/>
  <c r="E540" i="122" s="1"/>
  <c r="E638" i="122" s="1"/>
  <c r="D148" i="122"/>
  <c r="D246" i="122" s="1"/>
  <c r="D344" i="122" s="1"/>
  <c r="D442" i="122" s="1"/>
  <c r="D540" i="122" s="1"/>
  <c r="D638" i="122" s="1"/>
  <c r="C148" i="122"/>
  <c r="C246" i="122" s="1"/>
  <c r="C344" i="122" s="1"/>
  <c r="C442" i="122" s="1"/>
  <c r="C540" i="122" s="1"/>
  <c r="C638" i="122" s="1"/>
  <c r="B148" i="122"/>
  <c r="B246" i="122" s="1"/>
  <c r="B344" i="122" s="1"/>
  <c r="B442" i="122" s="1"/>
  <c r="B540" i="122" s="1"/>
  <c r="B638" i="122" s="1"/>
  <c r="A148" i="122"/>
  <c r="A246" i="122" s="1"/>
  <c r="A344" i="122" s="1"/>
  <c r="A442" i="122" s="1"/>
  <c r="A540" i="122" s="1"/>
  <c r="A638" i="122" s="1"/>
  <c r="M49" i="122"/>
  <c r="E147" i="122"/>
  <c r="E245" i="122" s="1"/>
  <c r="E343" i="122" s="1"/>
  <c r="E441" i="122" s="1"/>
  <c r="E539" i="122" s="1"/>
  <c r="E637" i="122" s="1"/>
  <c r="D147" i="122"/>
  <c r="D245" i="122" s="1"/>
  <c r="D343" i="122" s="1"/>
  <c r="D441" i="122" s="1"/>
  <c r="D539" i="122" s="1"/>
  <c r="D637" i="122" s="1"/>
  <c r="C147" i="122"/>
  <c r="C245" i="122" s="1"/>
  <c r="C343" i="122" s="1"/>
  <c r="C441" i="122" s="1"/>
  <c r="C539" i="122" s="1"/>
  <c r="C637" i="122" s="1"/>
  <c r="B147" i="122"/>
  <c r="B245" i="122" s="1"/>
  <c r="B343" i="122" s="1"/>
  <c r="B441" i="122" s="1"/>
  <c r="B539" i="122" s="1"/>
  <c r="B637" i="122" s="1"/>
  <c r="A147" i="122"/>
  <c r="A245" i="122" s="1"/>
  <c r="A343" i="122" s="1"/>
  <c r="A441" i="122" s="1"/>
  <c r="A539" i="122" s="1"/>
  <c r="A637" i="122" s="1"/>
  <c r="M48" i="122"/>
  <c r="E146" i="122"/>
  <c r="E244" i="122" s="1"/>
  <c r="E342" i="122" s="1"/>
  <c r="E440" i="122" s="1"/>
  <c r="E538" i="122" s="1"/>
  <c r="E636" i="122" s="1"/>
  <c r="D146" i="122"/>
  <c r="D244" i="122" s="1"/>
  <c r="D342" i="122" s="1"/>
  <c r="D440" i="122" s="1"/>
  <c r="D538" i="122" s="1"/>
  <c r="D636" i="122" s="1"/>
  <c r="C146" i="122"/>
  <c r="C244" i="122" s="1"/>
  <c r="C342" i="122" s="1"/>
  <c r="C440" i="122" s="1"/>
  <c r="C538" i="122" s="1"/>
  <c r="C636" i="122" s="1"/>
  <c r="B146" i="122"/>
  <c r="B244" i="122" s="1"/>
  <c r="B342" i="122" s="1"/>
  <c r="B440" i="122" s="1"/>
  <c r="B538" i="122" s="1"/>
  <c r="B636" i="122" s="1"/>
  <c r="A146" i="122"/>
  <c r="A244" i="122" s="1"/>
  <c r="A342" i="122" s="1"/>
  <c r="A440" i="122" s="1"/>
  <c r="A538" i="122" s="1"/>
  <c r="A636" i="122" s="1"/>
  <c r="M47" i="122"/>
  <c r="E145" i="122"/>
  <c r="E243" i="122" s="1"/>
  <c r="E341" i="122" s="1"/>
  <c r="E439" i="122" s="1"/>
  <c r="E537" i="122" s="1"/>
  <c r="E635" i="122" s="1"/>
  <c r="D145" i="122"/>
  <c r="D243" i="122" s="1"/>
  <c r="D341" i="122" s="1"/>
  <c r="D439" i="122" s="1"/>
  <c r="D537" i="122" s="1"/>
  <c r="D635" i="122" s="1"/>
  <c r="C145" i="122"/>
  <c r="C243" i="122" s="1"/>
  <c r="C341" i="122" s="1"/>
  <c r="C439" i="122" s="1"/>
  <c r="C537" i="122" s="1"/>
  <c r="C635" i="122" s="1"/>
  <c r="B145" i="122"/>
  <c r="B243" i="122" s="1"/>
  <c r="B341" i="122" s="1"/>
  <c r="B439" i="122" s="1"/>
  <c r="B537" i="122" s="1"/>
  <c r="B635" i="122" s="1"/>
  <c r="A145" i="122"/>
  <c r="A243" i="122" s="1"/>
  <c r="A341" i="122" s="1"/>
  <c r="A439" i="122" s="1"/>
  <c r="A537" i="122" s="1"/>
  <c r="A635" i="122" s="1"/>
  <c r="M46" i="122"/>
  <c r="E144" i="122"/>
  <c r="E242" i="122" s="1"/>
  <c r="E340" i="122" s="1"/>
  <c r="E438" i="122" s="1"/>
  <c r="E536" i="122" s="1"/>
  <c r="E634" i="122" s="1"/>
  <c r="D144" i="122"/>
  <c r="D242" i="122" s="1"/>
  <c r="D340" i="122" s="1"/>
  <c r="D438" i="122" s="1"/>
  <c r="D536" i="122" s="1"/>
  <c r="D634" i="122" s="1"/>
  <c r="C144" i="122"/>
  <c r="C242" i="122" s="1"/>
  <c r="C340" i="122" s="1"/>
  <c r="C438" i="122" s="1"/>
  <c r="C536" i="122" s="1"/>
  <c r="C634" i="122" s="1"/>
  <c r="B144" i="122"/>
  <c r="B242" i="122" s="1"/>
  <c r="B340" i="122" s="1"/>
  <c r="B438" i="122" s="1"/>
  <c r="B536" i="122" s="1"/>
  <c r="B634" i="122" s="1"/>
  <c r="A144" i="122"/>
  <c r="A242" i="122" s="1"/>
  <c r="A340" i="122" s="1"/>
  <c r="A438" i="122" s="1"/>
  <c r="A536" i="122" s="1"/>
  <c r="A634" i="122" s="1"/>
  <c r="M45" i="122"/>
  <c r="E143" i="122"/>
  <c r="D143" i="122"/>
  <c r="D241" i="122" s="1"/>
  <c r="D339" i="122" s="1"/>
  <c r="D437" i="122" s="1"/>
  <c r="D535" i="122" s="1"/>
  <c r="D633" i="122" s="1"/>
  <c r="C143" i="122"/>
  <c r="C241" i="122" s="1"/>
  <c r="C339" i="122" s="1"/>
  <c r="C437" i="122" s="1"/>
  <c r="C535" i="122" s="1"/>
  <c r="C633" i="122" s="1"/>
  <c r="B143" i="122"/>
  <c r="B241" i="122" s="1"/>
  <c r="B339" i="122" s="1"/>
  <c r="B437" i="122" s="1"/>
  <c r="B535" i="122" s="1"/>
  <c r="B633" i="122" s="1"/>
  <c r="A143" i="122"/>
  <c r="A241" i="122" s="1"/>
  <c r="A339" i="122" s="1"/>
  <c r="A437" i="122" s="1"/>
  <c r="A535" i="122" s="1"/>
  <c r="A633" i="122" s="1"/>
  <c r="M44" i="122"/>
  <c r="E142" i="122"/>
  <c r="E240" i="122" s="1"/>
  <c r="E338" i="122" s="1"/>
  <c r="E436" i="122" s="1"/>
  <c r="E534" i="122" s="1"/>
  <c r="E632" i="122" s="1"/>
  <c r="D142" i="122"/>
  <c r="D240" i="122" s="1"/>
  <c r="D338" i="122" s="1"/>
  <c r="D436" i="122" s="1"/>
  <c r="D534" i="122" s="1"/>
  <c r="D632" i="122" s="1"/>
  <c r="B142" i="122"/>
  <c r="B240" i="122" s="1"/>
  <c r="B338" i="122" s="1"/>
  <c r="B436" i="122" s="1"/>
  <c r="B534" i="122" s="1"/>
  <c r="B632" i="122" s="1"/>
  <c r="A142" i="122"/>
  <c r="A240" i="122" s="1"/>
  <c r="A338" i="122" s="1"/>
  <c r="A436" i="122" s="1"/>
  <c r="A534" i="122" s="1"/>
  <c r="A632" i="122" s="1"/>
  <c r="M43" i="122"/>
  <c r="E141" i="122"/>
  <c r="E239" i="122" s="1"/>
  <c r="E337" i="122" s="1"/>
  <c r="E435" i="122" s="1"/>
  <c r="E533" i="122" s="1"/>
  <c r="E631" i="122" s="1"/>
  <c r="D141" i="122"/>
  <c r="D239" i="122" s="1"/>
  <c r="D337" i="122" s="1"/>
  <c r="D435" i="122" s="1"/>
  <c r="D533" i="122" s="1"/>
  <c r="D631" i="122" s="1"/>
  <c r="C141" i="122"/>
  <c r="C239" i="122" s="1"/>
  <c r="C337" i="122" s="1"/>
  <c r="C435" i="122" s="1"/>
  <c r="C533" i="122" s="1"/>
  <c r="C631" i="122" s="1"/>
  <c r="B141" i="122"/>
  <c r="B239" i="122" s="1"/>
  <c r="B337" i="122" s="1"/>
  <c r="B435" i="122" s="1"/>
  <c r="B533" i="122" s="1"/>
  <c r="B631" i="122" s="1"/>
  <c r="A141" i="122"/>
  <c r="A239" i="122" s="1"/>
  <c r="A337" i="122" s="1"/>
  <c r="A435" i="122" s="1"/>
  <c r="A533" i="122" s="1"/>
  <c r="A631" i="122" s="1"/>
  <c r="M42" i="122"/>
  <c r="E140" i="122"/>
  <c r="E238" i="122" s="1"/>
  <c r="E336" i="122" s="1"/>
  <c r="E434" i="122" s="1"/>
  <c r="E532" i="122" s="1"/>
  <c r="E630" i="122" s="1"/>
  <c r="D140" i="122"/>
  <c r="D238" i="122" s="1"/>
  <c r="D336" i="122" s="1"/>
  <c r="D434" i="122" s="1"/>
  <c r="D532" i="122" s="1"/>
  <c r="D630" i="122" s="1"/>
  <c r="C140" i="122"/>
  <c r="C238" i="122" s="1"/>
  <c r="C336" i="122" s="1"/>
  <c r="C434" i="122" s="1"/>
  <c r="C532" i="122" s="1"/>
  <c r="C630" i="122" s="1"/>
  <c r="B140" i="122"/>
  <c r="B238" i="122" s="1"/>
  <c r="B336" i="122" s="1"/>
  <c r="B434" i="122" s="1"/>
  <c r="B532" i="122" s="1"/>
  <c r="B630" i="122" s="1"/>
  <c r="A140" i="122"/>
  <c r="A238" i="122" s="1"/>
  <c r="A336" i="122" s="1"/>
  <c r="A434" i="122" s="1"/>
  <c r="A532" i="122" s="1"/>
  <c r="A630" i="122" s="1"/>
  <c r="M41" i="122"/>
  <c r="E139" i="122"/>
  <c r="E237" i="122" s="1"/>
  <c r="E335" i="122" s="1"/>
  <c r="E433" i="122" s="1"/>
  <c r="E531" i="122" s="1"/>
  <c r="E629" i="122" s="1"/>
  <c r="D139" i="122"/>
  <c r="D237" i="122" s="1"/>
  <c r="D335" i="122" s="1"/>
  <c r="D433" i="122" s="1"/>
  <c r="D531" i="122" s="1"/>
  <c r="D629" i="122" s="1"/>
  <c r="C139" i="122"/>
  <c r="C237" i="122" s="1"/>
  <c r="C335" i="122" s="1"/>
  <c r="C433" i="122" s="1"/>
  <c r="C531" i="122" s="1"/>
  <c r="C629" i="122" s="1"/>
  <c r="B139" i="122"/>
  <c r="B237" i="122" s="1"/>
  <c r="B335" i="122" s="1"/>
  <c r="B433" i="122" s="1"/>
  <c r="B531" i="122" s="1"/>
  <c r="B629" i="122" s="1"/>
  <c r="A139" i="122"/>
  <c r="A237" i="122" s="1"/>
  <c r="A335" i="122" s="1"/>
  <c r="A433" i="122" s="1"/>
  <c r="A531" i="122" s="1"/>
  <c r="A629" i="122" s="1"/>
  <c r="M40" i="122"/>
  <c r="E138" i="122"/>
  <c r="E236" i="122" s="1"/>
  <c r="E334" i="122" s="1"/>
  <c r="E432" i="122" s="1"/>
  <c r="E530" i="122" s="1"/>
  <c r="E628" i="122" s="1"/>
  <c r="B138" i="122"/>
  <c r="B236" i="122" s="1"/>
  <c r="B334" i="122" s="1"/>
  <c r="B432" i="122" s="1"/>
  <c r="B530" i="122" s="1"/>
  <c r="B628" i="122" s="1"/>
  <c r="A138" i="122"/>
  <c r="A236" i="122" s="1"/>
  <c r="A334" i="122" s="1"/>
  <c r="A432" i="122" s="1"/>
  <c r="A530" i="122" s="1"/>
  <c r="A628" i="122" s="1"/>
  <c r="M39" i="122"/>
  <c r="E137" i="122"/>
  <c r="E235" i="122" s="1"/>
  <c r="E333" i="122" s="1"/>
  <c r="E431" i="122" s="1"/>
  <c r="E529" i="122" s="1"/>
  <c r="E627" i="122" s="1"/>
  <c r="B137" i="122"/>
  <c r="B235" i="122" s="1"/>
  <c r="B333" i="122" s="1"/>
  <c r="B431" i="122" s="1"/>
  <c r="B529" i="122" s="1"/>
  <c r="B627" i="122" s="1"/>
  <c r="A137" i="122"/>
  <c r="A235" i="122" s="1"/>
  <c r="A333" i="122" s="1"/>
  <c r="A431" i="122" s="1"/>
  <c r="A529" i="122" s="1"/>
  <c r="A627" i="122" s="1"/>
  <c r="M38" i="122"/>
  <c r="O38" i="122" s="1"/>
  <c r="P38" i="122" s="1"/>
  <c r="E136" i="122"/>
  <c r="E234" i="122" s="1"/>
  <c r="E332" i="122" s="1"/>
  <c r="E430" i="122" s="1"/>
  <c r="E528" i="122" s="1"/>
  <c r="E626" i="122" s="1"/>
  <c r="B136" i="122"/>
  <c r="A136" i="122"/>
  <c r="A234" i="122" s="1"/>
  <c r="A332" i="122" s="1"/>
  <c r="A430" i="122" s="1"/>
  <c r="A528" i="122" s="1"/>
  <c r="A626" i="122" s="1"/>
  <c r="M37" i="122"/>
  <c r="E135" i="122"/>
  <c r="E233" i="122" s="1"/>
  <c r="E331" i="122" s="1"/>
  <c r="E429" i="122" s="1"/>
  <c r="E527" i="122" s="1"/>
  <c r="E625" i="122" s="1"/>
  <c r="B135" i="122"/>
  <c r="B233" i="122" s="1"/>
  <c r="B331" i="122" s="1"/>
  <c r="B429" i="122" s="1"/>
  <c r="B527" i="122" s="1"/>
  <c r="B625" i="122" s="1"/>
  <c r="A135" i="122"/>
  <c r="A233" i="122" s="1"/>
  <c r="A331" i="122" s="1"/>
  <c r="A429" i="122" s="1"/>
  <c r="A527" i="122" s="1"/>
  <c r="A625" i="122" s="1"/>
  <c r="M36" i="122"/>
  <c r="E134" i="122"/>
  <c r="E232" i="122" s="1"/>
  <c r="E330" i="122" s="1"/>
  <c r="E428" i="122" s="1"/>
  <c r="E526" i="122" s="1"/>
  <c r="E624" i="122" s="1"/>
  <c r="B134" i="122"/>
  <c r="B232" i="122" s="1"/>
  <c r="B330" i="122" s="1"/>
  <c r="B428" i="122" s="1"/>
  <c r="B526" i="122" s="1"/>
  <c r="B624" i="122" s="1"/>
  <c r="A134" i="122"/>
  <c r="A232" i="122" s="1"/>
  <c r="A330" i="122" s="1"/>
  <c r="A428" i="122" s="1"/>
  <c r="A526" i="122" s="1"/>
  <c r="A624" i="122" s="1"/>
  <c r="M35" i="122"/>
  <c r="E133" i="122"/>
  <c r="E231" i="122" s="1"/>
  <c r="E329" i="122" s="1"/>
  <c r="E427" i="122" s="1"/>
  <c r="E525" i="122" s="1"/>
  <c r="E623" i="122" s="1"/>
  <c r="B133" i="122"/>
  <c r="B231" i="122" s="1"/>
  <c r="B329" i="122" s="1"/>
  <c r="B427" i="122" s="1"/>
  <c r="B525" i="122" s="1"/>
  <c r="B623" i="122" s="1"/>
  <c r="A133" i="122"/>
  <c r="A231" i="122" s="1"/>
  <c r="A329" i="122" s="1"/>
  <c r="A427" i="122" s="1"/>
  <c r="A525" i="122" s="1"/>
  <c r="A623" i="122" s="1"/>
  <c r="M34" i="122"/>
  <c r="E132" i="122"/>
  <c r="E230" i="122" s="1"/>
  <c r="E328" i="122" s="1"/>
  <c r="E426" i="122" s="1"/>
  <c r="E524" i="122" s="1"/>
  <c r="E622" i="122" s="1"/>
  <c r="B132" i="122"/>
  <c r="B230" i="122" s="1"/>
  <c r="B328" i="122" s="1"/>
  <c r="B426" i="122" s="1"/>
  <c r="B524" i="122" s="1"/>
  <c r="B622" i="122" s="1"/>
  <c r="A132" i="122"/>
  <c r="A230" i="122" s="1"/>
  <c r="A328" i="122" s="1"/>
  <c r="A426" i="122" s="1"/>
  <c r="A524" i="122" s="1"/>
  <c r="A622" i="122" s="1"/>
  <c r="M33" i="122"/>
  <c r="E131" i="122"/>
  <c r="E229" i="122" s="1"/>
  <c r="E327" i="122" s="1"/>
  <c r="E425" i="122" s="1"/>
  <c r="E523" i="122" s="1"/>
  <c r="E621" i="122" s="1"/>
  <c r="B131" i="122"/>
  <c r="B229" i="122" s="1"/>
  <c r="B327" i="122" s="1"/>
  <c r="B425" i="122" s="1"/>
  <c r="B523" i="122" s="1"/>
  <c r="B621" i="122" s="1"/>
  <c r="A131" i="122"/>
  <c r="A229" i="122" s="1"/>
  <c r="A327" i="122" s="1"/>
  <c r="A425" i="122" s="1"/>
  <c r="A523" i="122" s="1"/>
  <c r="A621" i="122" s="1"/>
  <c r="M32" i="122"/>
  <c r="E130" i="122"/>
  <c r="E228" i="122" s="1"/>
  <c r="E326" i="122" s="1"/>
  <c r="E424" i="122" s="1"/>
  <c r="E522" i="122" s="1"/>
  <c r="E620" i="122" s="1"/>
  <c r="B130" i="122"/>
  <c r="B228" i="122" s="1"/>
  <c r="B326" i="122" s="1"/>
  <c r="B424" i="122" s="1"/>
  <c r="B522" i="122" s="1"/>
  <c r="B620" i="122" s="1"/>
  <c r="A130" i="122"/>
  <c r="A228" i="122" s="1"/>
  <c r="A326" i="122" s="1"/>
  <c r="A424" i="122" s="1"/>
  <c r="A522" i="122" s="1"/>
  <c r="A620" i="122" s="1"/>
  <c r="M31" i="122"/>
  <c r="O31" i="122" s="1"/>
  <c r="E129" i="122"/>
  <c r="E227" i="122" s="1"/>
  <c r="E325" i="122" s="1"/>
  <c r="E423" i="122" s="1"/>
  <c r="E521" i="122" s="1"/>
  <c r="E619" i="122" s="1"/>
  <c r="B129" i="122"/>
  <c r="B227" i="122" s="1"/>
  <c r="B325" i="122" s="1"/>
  <c r="B423" i="122" s="1"/>
  <c r="B521" i="122" s="1"/>
  <c r="B619" i="122" s="1"/>
  <c r="A129" i="122"/>
  <c r="A227" i="122" s="1"/>
  <c r="A325" i="122" s="1"/>
  <c r="A423" i="122" s="1"/>
  <c r="A521" i="122" s="1"/>
  <c r="A619" i="122" s="1"/>
  <c r="M30" i="122"/>
  <c r="O30" i="122" s="1"/>
  <c r="P30" i="122" s="1"/>
  <c r="E128" i="122"/>
  <c r="E226" i="122" s="1"/>
  <c r="E324" i="122" s="1"/>
  <c r="E422" i="122" s="1"/>
  <c r="E520" i="122" s="1"/>
  <c r="E618" i="122" s="1"/>
  <c r="B128" i="122"/>
  <c r="B226" i="122" s="1"/>
  <c r="B324" i="122" s="1"/>
  <c r="B422" i="122" s="1"/>
  <c r="B520" i="122" s="1"/>
  <c r="B618" i="122" s="1"/>
  <c r="A128" i="122"/>
  <c r="A226" i="122" s="1"/>
  <c r="A324" i="122" s="1"/>
  <c r="A422" i="122" s="1"/>
  <c r="A520" i="122" s="1"/>
  <c r="A618" i="122" s="1"/>
  <c r="M29" i="122"/>
  <c r="D127" i="122"/>
  <c r="D225" i="122" s="1"/>
  <c r="D323" i="122" s="1"/>
  <c r="D421" i="122" s="1"/>
  <c r="D519" i="122" s="1"/>
  <c r="D617" i="122" s="1"/>
  <c r="C127" i="122"/>
  <c r="C225" i="122" s="1"/>
  <c r="C323" i="122" s="1"/>
  <c r="C421" i="122" s="1"/>
  <c r="C519" i="122" s="1"/>
  <c r="C617" i="122" s="1"/>
  <c r="B127" i="122"/>
  <c r="B225" i="122" s="1"/>
  <c r="B323" i="122" s="1"/>
  <c r="B421" i="122" s="1"/>
  <c r="B519" i="122" s="1"/>
  <c r="B617" i="122" s="1"/>
  <c r="A127" i="122"/>
  <c r="A225" i="122" s="1"/>
  <c r="A323" i="122" s="1"/>
  <c r="A421" i="122" s="1"/>
  <c r="A519" i="122" s="1"/>
  <c r="A617" i="122" s="1"/>
  <c r="M28" i="122"/>
  <c r="E126" i="122"/>
  <c r="E224" i="122" s="1"/>
  <c r="E322" i="122" s="1"/>
  <c r="E420" i="122" s="1"/>
  <c r="E518" i="122" s="1"/>
  <c r="E616" i="122" s="1"/>
  <c r="B126" i="122"/>
  <c r="B224" i="122" s="1"/>
  <c r="B322" i="122" s="1"/>
  <c r="B420" i="122" s="1"/>
  <c r="B518" i="122" s="1"/>
  <c r="B616" i="122" s="1"/>
  <c r="A126" i="122"/>
  <c r="A224" i="122" s="1"/>
  <c r="A322" i="122" s="1"/>
  <c r="A420" i="122" s="1"/>
  <c r="A518" i="122" s="1"/>
  <c r="A616" i="122" s="1"/>
  <c r="M27" i="122"/>
  <c r="O27" i="122" s="1"/>
  <c r="D125" i="122"/>
  <c r="D223" i="122" s="1"/>
  <c r="D321" i="122" s="1"/>
  <c r="D419" i="122" s="1"/>
  <c r="D517" i="122" s="1"/>
  <c r="D615" i="122" s="1"/>
  <c r="C125" i="122"/>
  <c r="C223" i="122" s="1"/>
  <c r="C321" i="122" s="1"/>
  <c r="C419" i="122" s="1"/>
  <c r="C517" i="122" s="1"/>
  <c r="C615" i="122" s="1"/>
  <c r="B125" i="122"/>
  <c r="B223" i="122" s="1"/>
  <c r="B321" i="122" s="1"/>
  <c r="B419" i="122" s="1"/>
  <c r="B517" i="122" s="1"/>
  <c r="B615" i="122" s="1"/>
  <c r="A125" i="122"/>
  <c r="A223" i="122" s="1"/>
  <c r="A321" i="122" s="1"/>
  <c r="A419" i="122" s="1"/>
  <c r="A517" i="122" s="1"/>
  <c r="A615" i="122" s="1"/>
  <c r="M26" i="122"/>
  <c r="E124" i="122"/>
  <c r="E222" i="122" s="1"/>
  <c r="E320" i="122" s="1"/>
  <c r="E418" i="122" s="1"/>
  <c r="E516" i="122" s="1"/>
  <c r="E614" i="122" s="1"/>
  <c r="B124" i="122"/>
  <c r="B222" i="122" s="1"/>
  <c r="B320" i="122" s="1"/>
  <c r="B418" i="122" s="1"/>
  <c r="B516" i="122" s="1"/>
  <c r="B614" i="122" s="1"/>
  <c r="A124" i="122"/>
  <c r="A222" i="122" s="1"/>
  <c r="A320" i="122" s="1"/>
  <c r="A418" i="122" s="1"/>
  <c r="A516" i="122" s="1"/>
  <c r="A614" i="122" s="1"/>
  <c r="M25" i="122"/>
  <c r="O25" i="122" s="1"/>
  <c r="E123" i="122"/>
  <c r="E221" i="122" s="1"/>
  <c r="E319" i="122" s="1"/>
  <c r="E417" i="122" s="1"/>
  <c r="E515" i="122" s="1"/>
  <c r="E613" i="122" s="1"/>
  <c r="B123" i="122"/>
  <c r="B221" i="122" s="1"/>
  <c r="B319" i="122" s="1"/>
  <c r="B417" i="122" s="1"/>
  <c r="B515" i="122" s="1"/>
  <c r="B613" i="122" s="1"/>
  <c r="A123" i="122"/>
  <c r="A221" i="122" s="1"/>
  <c r="A319" i="122" s="1"/>
  <c r="A417" i="122" s="1"/>
  <c r="A515" i="122" s="1"/>
  <c r="A613" i="122" s="1"/>
  <c r="M24" i="122"/>
  <c r="E122" i="122"/>
  <c r="E220" i="122" s="1"/>
  <c r="E318" i="122" s="1"/>
  <c r="E416" i="122" s="1"/>
  <c r="E514" i="122" s="1"/>
  <c r="E612" i="122" s="1"/>
  <c r="B122" i="122"/>
  <c r="B220" i="122" s="1"/>
  <c r="B318" i="122" s="1"/>
  <c r="B416" i="122" s="1"/>
  <c r="B514" i="122" s="1"/>
  <c r="B612" i="122" s="1"/>
  <c r="A122" i="122"/>
  <c r="A220" i="122" s="1"/>
  <c r="A318" i="122" s="1"/>
  <c r="A416" i="122" s="1"/>
  <c r="A514" i="122" s="1"/>
  <c r="A612" i="122" s="1"/>
  <c r="M23" i="122"/>
  <c r="E121" i="122"/>
  <c r="E219" i="122" s="1"/>
  <c r="E317" i="122" s="1"/>
  <c r="E415" i="122" s="1"/>
  <c r="E513" i="122" s="1"/>
  <c r="E611" i="122" s="1"/>
  <c r="B121" i="122"/>
  <c r="B219" i="122" s="1"/>
  <c r="B317" i="122" s="1"/>
  <c r="B415" i="122" s="1"/>
  <c r="B513" i="122" s="1"/>
  <c r="B611" i="122" s="1"/>
  <c r="A121" i="122"/>
  <c r="A219" i="122" s="1"/>
  <c r="A317" i="122" s="1"/>
  <c r="A415" i="122" s="1"/>
  <c r="A513" i="122" s="1"/>
  <c r="A611" i="122" s="1"/>
  <c r="M22" i="122"/>
  <c r="D120" i="122"/>
  <c r="D218" i="122" s="1"/>
  <c r="D316" i="122" s="1"/>
  <c r="D414" i="122" s="1"/>
  <c r="D512" i="122" s="1"/>
  <c r="D610" i="122" s="1"/>
  <c r="C120" i="122"/>
  <c r="C218" i="122" s="1"/>
  <c r="C316" i="122" s="1"/>
  <c r="C414" i="122" s="1"/>
  <c r="C512" i="122" s="1"/>
  <c r="C610" i="122" s="1"/>
  <c r="B120" i="122"/>
  <c r="B218" i="122" s="1"/>
  <c r="B316" i="122" s="1"/>
  <c r="B414" i="122" s="1"/>
  <c r="B512" i="122" s="1"/>
  <c r="B610" i="122" s="1"/>
  <c r="A120" i="122"/>
  <c r="A218" i="122" s="1"/>
  <c r="A316" i="122" s="1"/>
  <c r="A414" i="122" s="1"/>
  <c r="A512" i="122" s="1"/>
  <c r="A610" i="122" s="1"/>
  <c r="M21" i="122"/>
  <c r="E119" i="122"/>
  <c r="E217" i="122" s="1"/>
  <c r="E315" i="122" s="1"/>
  <c r="E413" i="122" s="1"/>
  <c r="E511" i="122" s="1"/>
  <c r="E609" i="122" s="1"/>
  <c r="D119" i="122"/>
  <c r="D217" i="122" s="1"/>
  <c r="D315" i="122" s="1"/>
  <c r="D413" i="122" s="1"/>
  <c r="D511" i="122" s="1"/>
  <c r="C119" i="122"/>
  <c r="C217" i="122" s="1"/>
  <c r="C315" i="122" s="1"/>
  <c r="C413" i="122" s="1"/>
  <c r="C511" i="122" s="1"/>
  <c r="C609" i="122" s="1"/>
  <c r="B119" i="122"/>
  <c r="B217" i="122" s="1"/>
  <c r="B315" i="122" s="1"/>
  <c r="B413" i="122" s="1"/>
  <c r="B511" i="122" s="1"/>
  <c r="B609" i="122" s="1"/>
  <c r="A119" i="122"/>
  <c r="A217" i="122" s="1"/>
  <c r="A315" i="122" s="1"/>
  <c r="A413" i="122" s="1"/>
  <c r="A511" i="122" s="1"/>
  <c r="A609" i="122" s="1"/>
  <c r="M20" i="122"/>
  <c r="E118" i="122"/>
  <c r="E216" i="122" s="1"/>
  <c r="E314" i="122" s="1"/>
  <c r="E412" i="122" s="1"/>
  <c r="E510" i="122" s="1"/>
  <c r="E608" i="122" s="1"/>
  <c r="D118" i="122"/>
  <c r="D216" i="122" s="1"/>
  <c r="D314" i="122" s="1"/>
  <c r="D412" i="122" s="1"/>
  <c r="D510" i="122" s="1"/>
  <c r="D608" i="122" s="1"/>
  <c r="C118" i="122"/>
  <c r="C216" i="122" s="1"/>
  <c r="C314" i="122" s="1"/>
  <c r="C412" i="122" s="1"/>
  <c r="C510" i="122" s="1"/>
  <c r="C608" i="122" s="1"/>
  <c r="B118" i="122"/>
  <c r="B216" i="122" s="1"/>
  <c r="B314" i="122" s="1"/>
  <c r="B412" i="122" s="1"/>
  <c r="B510" i="122" s="1"/>
  <c r="B608" i="122" s="1"/>
  <c r="A118" i="122"/>
  <c r="A216" i="122" s="1"/>
  <c r="A314" i="122" s="1"/>
  <c r="A412" i="122" s="1"/>
  <c r="A510" i="122" s="1"/>
  <c r="A608" i="122" s="1"/>
  <c r="M19" i="122"/>
  <c r="E117" i="122"/>
  <c r="E215" i="122" s="1"/>
  <c r="E313" i="122" s="1"/>
  <c r="E411" i="122" s="1"/>
  <c r="E509" i="122" s="1"/>
  <c r="E607" i="122" s="1"/>
  <c r="D117" i="122"/>
  <c r="D215" i="122" s="1"/>
  <c r="D313" i="122" s="1"/>
  <c r="D411" i="122" s="1"/>
  <c r="D509" i="122" s="1"/>
  <c r="D607" i="122" s="1"/>
  <c r="C117" i="122"/>
  <c r="C215" i="122" s="1"/>
  <c r="C313" i="122" s="1"/>
  <c r="C411" i="122" s="1"/>
  <c r="C509" i="122" s="1"/>
  <c r="C607" i="122" s="1"/>
  <c r="B117" i="122"/>
  <c r="B215" i="122" s="1"/>
  <c r="B313" i="122" s="1"/>
  <c r="B411" i="122" s="1"/>
  <c r="B509" i="122" s="1"/>
  <c r="B607" i="122" s="1"/>
  <c r="A117" i="122"/>
  <c r="A215" i="122" s="1"/>
  <c r="A313" i="122" s="1"/>
  <c r="A411" i="122" s="1"/>
  <c r="A509" i="122" s="1"/>
  <c r="A607" i="122" s="1"/>
  <c r="M18" i="122"/>
  <c r="O18" i="122" s="1"/>
  <c r="E116" i="122"/>
  <c r="E214" i="122" s="1"/>
  <c r="E312" i="122" s="1"/>
  <c r="E410" i="122" s="1"/>
  <c r="E508" i="122" s="1"/>
  <c r="E606" i="122" s="1"/>
  <c r="B116" i="122"/>
  <c r="B214" i="122" s="1"/>
  <c r="B312" i="122" s="1"/>
  <c r="B410" i="122" s="1"/>
  <c r="B508" i="122" s="1"/>
  <c r="B606" i="122" s="1"/>
  <c r="A116" i="122"/>
  <c r="A214" i="122" s="1"/>
  <c r="A312" i="122" s="1"/>
  <c r="A410" i="122" s="1"/>
  <c r="A508" i="122" s="1"/>
  <c r="A606" i="122" s="1"/>
  <c r="M17" i="122"/>
  <c r="E115" i="122"/>
  <c r="E213" i="122" s="1"/>
  <c r="E311" i="122" s="1"/>
  <c r="E409" i="122" s="1"/>
  <c r="E507" i="122" s="1"/>
  <c r="E605" i="122" s="1"/>
  <c r="D115" i="122"/>
  <c r="D213" i="122" s="1"/>
  <c r="D311" i="122" s="1"/>
  <c r="D409" i="122" s="1"/>
  <c r="D507" i="122" s="1"/>
  <c r="D605" i="122" s="1"/>
  <c r="C115" i="122"/>
  <c r="C213" i="122" s="1"/>
  <c r="C311" i="122" s="1"/>
  <c r="C409" i="122" s="1"/>
  <c r="C507" i="122" s="1"/>
  <c r="C605" i="122" s="1"/>
  <c r="B115" i="122"/>
  <c r="B213" i="122" s="1"/>
  <c r="B311" i="122" s="1"/>
  <c r="B409" i="122" s="1"/>
  <c r="B507" i="122" s="1"/>
  <c r="B605" i="122" s="1"/>
  <c r="A115" i="122"/>
  <c r="A213" i="122" s="1"/>
  <c r="A311" i="122" s="1"/>
  <c r="A409" i="122" s="1"/>
  <c r="A507" i="122" s="1"/>
  <c r="A605" i="122" s="1"/>
  <c r="M16" i="122"/>
  <c r="E114" i="122"/>
  <c r="E212" i="122" s="1"/>
  <c r="E310" i="122" s="1"/>
  <c r="E408" i="122" s="1"/>
  <c r="E506" i="122" s="1"/>
  <c r="E604" i="122" s="1"/>
  <c r="D114" i="122"/>
  <c r="D212" i="122" s="1"/>
  <c r="D310" i="122" s="1"/>
  <c r="D408" i="122" s="1"/>
  <c r="D506" i="122" s="1"/>
  <c r="D604" i="122" s="1"/>
  <c r="C114" i="122"/>
  <c r="C212" i="122" s="1"/>
  <c r="C310" i="122" s="1"/>
  <c r="C408" i="122" s="1"/>
  <c r="C506" i="122" s="1"/>
  <c r="C604" i="122" s="1"/>
  <c r="B114" i="122"/>
  <c r="B212" i="122" s="1"/>
  <c r="B310" i="122" s="1"/>
  <c r="B408" i="122" s="1"/>
  <c r="B506" i="122" s="1"/>
  <c r="B604" i="122" s="1"/>
  <c r="A114" i="122"/>
  <c r="A212" i="122" s="1"/>
  <c r="A310" i="122" s="1"/>
  <c r="A408" i="122" s="1"/>
  <c r="A506" i="122" s="1"/>
  <c r="A604" i="122" s="1"/>
  <c r="M15" i="122"/>
  <c r="O15" i="122" s="1"/>
  <c r="P15" i="122" s="1"/>
  <c r="E113" i="122"/>
  <c r="E211" i="122" s="1"/>
  <c r="E309" i="122" s="1"/>
  <c r="E407" i="122" s="1"/>
  <c r="E505" i="122" s="1"/>
  <c r="E603" i="122" s="1"/>
  <c r="B113" i="122"/>
  <c r="B211" i="122" s="1"/>
  <c r="B309" i="122" s="1"/>
  <c r="B407" i="122" s="1"/>
  <c r="B505" i="122" s="1"/>
  <c r="B603" i="122" s="1"/>
  <c r="A113" i="122"/>
  <c r="A211" i="122" s="1"/>
  <c r="A309" i="122" s="1"/>
  <c r="A407" i="122" s="1"/>
  <c r="A505" i="122" s="1"/>
  <c r="A603" i="122" s="1"/>
  <c r="M14" i="122"/>
  <c r="D112" i="122"/>
  <c r="D210" i="122" s="1"/>
  <c r="D308" i="122" s="1"/>
  <c r="D406" i="122" s="1"/>
  <c r="D504" i="122" s="1"/>
  <c r="D602" i="122" s="1"/>
  <c r="C112" i="122"/>
  <c r="C210" i="122" s="1"/>
  <c r="C308" i="122" s="1"/>
  <c r="C406" i="122" s="1"/>
  <c r="C504" i="122" s="1"/>
  <c r="C602" i="122" s="1"/>
  <c r="B112" i="122"/>
  <c r="B210" i="122" s="1"/>
  <c r="B308" i="122" s="1"/>
  <c r="B406" i="122" s="1"/>
  <c r="B504" i="122" s="1"/>
  <c r="B602" i="122" s="1"/>
  <c r="A112" i="122"/>
  <c r="A210" i="122" s="1"/>
  <c r="A308" i="122" s="1"/>
  <c r="A406" i="122" s="1"/>
  <c r="A504" i="122" s="1"/>
  <c r="A602" i="122" s="1"/>
  <c r="M13" i="122"/>
  <c r="E111" i="122"/>
  <c r="E209" i="122" s="1"/>
  <c r="E307" i="122" s="1"/>
  <c r="E405" i="122" s="1"/>
  <c r="E503" i="122" s="1"/>
  <c r="E601" i="122" s="1"/>
  <c r="B111" i="122"/>
  <c r="B209" i="122" s="1"/>
  <c r="B307" i="122" s="1"/>
  <c r="B405" i="122" s="1"/>
  <c r="B503" i="122" s="1"/>
  <c r="B601" i="122" s="1"/>
  <c r="A111" i="122"/>
  <c r="A209" i="122" s="1"/>
  <c r="A307" i="122" s="1"/>
  <c r="A405" i="122" s="1"/>
  <c r="A503" i="122" s="1"/>
  <c r="A601" i="122" s="1"/>
  <c r="M12" i="122"/>
  <c r="O12" i="122" s="1"/>
  <c r="E110" i="122"/>
  <c r="E208" i="122" s="1"/>
  <c r="E306" i="122" s="1"/>
  <c r="E404" i="122" s="1"/>
  <c r="E502" i="122" s="1"/>
  <c r="E600" i="122" s="1"/>
  <c r="B110" i="122"/>
  <c r="B208" i="122" s="1"/>
  <c r="B306" i="122" s="1"/>
  <c r="B404" i="122" s="1"/>
  <c r="B502" i="122" s="1"/>
  <c r="B600" i="122" s="1"/>
  <c r="A110" i="122"/>
  <c r="A208" i="122" s="1"/>
  <c r="A306" i="122" s="1"/>
  <c r="A404" i="122" s="1"/>
  <c r="A502" i="122" s="1"/>
  <c r="A600" i="122" s="1"/>
  <c r="M11" i="122"/>
  <c r="O11" i="122" s="1"/>
  <c r="E109" i="122"/>
  <c r="E207" i="122" s="1"/>
  <c r="E305" i="122" s="1"/>
  <c r="E403" i="122" s="1"/>
  <c r="E501" i="122" s="1"/>
  <c r="E599" i="122" s="1"/>
  <c r="B109" i="122"/>
  <c r="B207" i="122" s="1"/>
  <c r="B305" i="122" s="1"/>
  <c r="B403" i="122" s="1"/>
  <c r="B501" i="122" s="1"/>
  <c r="B599" i="122" s="1"/>
  <c r="A109" i="122"/>
  <c r="A207" i="122" s="1"/>
  <c r="A305" i="122" s="1"/>
  <c r="A403" i="122" s="1"/>
  <c r="A501" i="122" s="1"/>
  <c r="A599" i="122" s="1"/>
  <c r="M10" i="122"/>
  <c r="O10" i="122" s="1"/>
  <c r="D108" i="122"/>
  <c r="D206" i="122" s="1"/>
  <c r="D304" i="122" s="1"/>
  <c r="D402" i="122" s="1"/>
  <c r="D500" i="122" s="1"/>
  <c r="D598" i="122" s="1"/>
  <c r="C108" i="122"/>
  <c r="C206" i="122" s="1"/>
  <c r="C304" i="122" s="1"/>
  <c r="C402" i="122" s="1"/>
  <c r="C500" i="122" s="1"/>
  <c r="C598" i="122" s="1"/>
  <c r="B108" i="122"/>
  <c r="B206" i="122" s="1"/>
  <c r="B304" i="122" s="1"/>
  <c r="B402" i="122" s="1"/>
  <c r="B500" i="122" s="1"/>
  <c r="B598" i="122" s="1"/>
  <c r="A108" i="122"/>
  <c r="A206" i="122" s="1"/>
  <c r="A304" i="122" s="1"/>
  <c r="A402" i="122" s="1"/>
  <c r="A500" i="122" s="1"/>
  <c r="A598" i="122" s="1"/>
  <c r="B107" i="122"/>
  <c r="B205" i="122" s="1"/>
  <c r="B303" i="122" s="1"/>
  <c r="B401" i="122" s="1"/>
  <c r="B499" i="122" s="1"/>
  <c r="B597" i="122" s="1"/>
  <c r="O185" i="119" l="1"/>
  <c r="P185" i="119" s="1"/>
  <c r="P523" i="122"/>
  <c r="P419" i="122"/>
  <c r="P399" i="119"/>
  <c r="P210" i="122"/>
  <c r="S18" i="120"/>
  <c r="P524" i="122"/>
  <c r="O399" i="119"/>
  <c r="S10" i="117"/>
  <c r="S27" i="117"/>
  <c r="S18" i="117"/>
  <c r="F17" i="118"/>
  <c r="K16" i="118"/>
  <c r="F22" i="118"/>
  <c r="K21" i="118"/>
  <c r="F26" i="118"/>
  <c r="F12" i="118"/>
  <c r="K15" i="118"/>
  <c r="O133" i="119"/>
  <c r="P133" i="119"/>
  <c r="O242" i="119"/>
  <c r="P242" i="119"/>
  <c r="O347" i="119"/>
  <c r="P347" i="119" s="1"/>
  <c r="O179" i="119"/>
  <c r="P179" i="119" s="1"/>
  <c r="O287" i="119"/>
  <c r="P287" i="119"/>
  <c r="P128" i="119"/>
  <c r="P330" i="119"/>
  <c r="O338" i="119"/>
  <c r="P338" i="119" s="1"/>
  <c r="O223" i="119"/>
  <c r="P223" i="119" s="1"/>
  <c r="P227" i="119"/>
  <c r="O235" i="119"/>
  <c r="P235" i="119"/>
  <c r="O331" i="119"/>
  <c r="P331" i="119"/>
  <c r="O342" i="119"/>
  <c r="P342" i="119" s="1"/>
  <c r="O12" i="119"/>
  <c r="P12" i="119" s="1"/>
  <c r="P392" i="119"/>
  <c r="O395" i="119"/>
  <c r="P395" i="119" s="1"/>
  <c r="P401" i="119"/>
  <c r="P78" i="119"/>
  <c r="O330" i="119"/>
  <c r="O237" i="119"/>
  <c r="P237" i="119" s="1"/>
  <c r="O31" i="119"/>
  <c r="P31" i="119" s="1"/>
  <c r="O177" i="119"/>
  <c r="P177" i="119" s="1"/>
  <c r="O69" i="119"/>
  <c r="P69" i="119" s="1"/>
  <c r="O79" i="119"/>
  <c r="P79" i="119" s="1"/>
  <c r="O14" i="119"/>
  <c r="P14" i="119" s="1"/>
  <c r="P17" i="119"/>
  <c r="O17" i="119"/>
  <c r="O84" i="119"/>
  <c r="P84" i="119" s="1"/>
  <c r="O118" i="119"/>
  <c r="P118" i="119" s="1"/>
  <c r="O127" i="119"/>
  <c r="P127" i="119" s="1"/>
  <c r="O65" i="119"/>
  <c r="P65" i="119" s="1"/>
  <c r="O278" i="119"/>
  <c r="P278" i="119" s="1"/>
  <c r="I58" i="119"/>
  <c r="J58" i="119"/>
  <c r="O121" i="119"/>
  <c r="P121" i="119" s="1"/>
  <c r="O11" i="119"/>
  <c r="P11" i="119" s="1"/>
  <c r="O18" i="119"/>
  <c r="P18" i="119" s="1"/>
  <c r="O32" i="119"/>
  <c r="P32" i="119" s="1"/>
  <c r="O68" i="119"/>
  <c r="P68" i="119" s="1"/>
  <c r="M164" i="119"/>
  <c r="O172" i="119"/>
  <c r="P172" i="119" s="1"/>
  <c r="O27" i="119"/>
  <c r="P27" i="119" s="1"/>
  <c r="M58" i="119"/>
  <c r="O10" i="119"/>
  <c r="P10" i="119" s="1"/>
  <c r="O13" i="119"/>
  <c r="P13" i="119" s="1"/>
  <c r="O15" i="119"/>
  <c r="P15" i="119" s="1"/>
  <c r="O22" i="119"/>
  <c r="P22" i="119" s="1"/>
  <c r="O25" i="119"/>
  <c r="P25" i="119" s="1"/>
  <c r="O64" i="119"/>
  <c r="P64" i="119" s="1"/>
  <c r="O119" i="119"/>
  <c r="P119" i="119" s="1"/>
  <c r="O122" i="119"/>
  <c r="P122" i="119" s="1"/>
  <c r="O181" i="119"/>
  <c r="P181" i="119" s="1"/>
  <c r="O186" i="119"/>
  <c r="P186" i="119" s="1"/>
  <c r="O24" i="119"/>
  <c r="P24" i="119" s="1"/>
  <c r="O73" i="119"/>
  <c r="P73" i="119" s="1"/>
  <c r="O19" i="119"/>
  <c r="P19" i="119" s="1"/>
  <c r="O26" i="119"/>
  <c r="P26" i="119" s="1"/>
  <c r="P29" i="119"/>
  <c r="O29" i="119"/>
  <c r="O85" i="119"/>
  <c r="P85" i="119" s="1"/>
  <c r="P130" i="119"/>
  <c r="O77" i="119"/>
  <c r="P77" i="119" s="1"/>
  <c r="P23" i="119"/>
  <c r="O23" i="119"/>
  <c r="O30" i="119"/>
  <c r="P30" i="119" s="1"/>
  <c r="O76" i="119"/>
  <c r="P76" i="119" s="1"/>
  <c r="O176" i="119"/>
  <c r="P176" i="119" s="1"/>
  <c r="O228" i="119"/>
  <c r="P228" i="119" s="1"/>
  <c r="M217" i="119"/>
  <c r="O230" i="119"/>
  <c r="P230" i="119" s="1"/>
  <c r="O70" i="119"/>
  <c r="P70" i="119" s="1"/>
  <c r="I111" i="119"/>
  <c r="P126" i="119"/>
  <c r="O169" i="119"/>
  <c r="P169" i="119" s="1"/>
  <c r="O233" i="119"/>
  <c r="P233" i="119" s="1"/>
  <c r="O244" i="119"/>
  <c r="P244" i="119" s="1"/>
  <c r="O291" i="119"/>
  <c r="P291" i="119" s="1"/>
  <c r="P75" i="119"/>
  <c r="O116" i="119"/>
  <c r="P116" i="119" s="1"/>
  <c r="M270" i="119"/>
  <c r="O66" i="119"/>
  <c r="P66" i="119" s="1"/>
  <c r="O125" i="119"/>
  <c r="P125" i="119" s="1"/>
  <c r="O180" i="119"/>
  <c r="P180" i="119" s="1"/>
  <c r="O182" i="119"/>
  <c r="P182" i="119" s="1"/>
  <c r="O187" i="119"/>
  <c r="P187" i="119" s="1"/>
  <c r="O350" i="119"/>
  <c r="P350" i="119" s="1"/>
  <c r="O385" i="119"/>
  <c r="P385" i="119" s="1"/>
  <c r="P129" i="119"/>
  <c r="O178" i="119"/>
  <c r="P178" i="119" s="1"/>
  <c r="O286" i="119"/>
  <c r="P286" i="119" s="1"/>
  <c r="M63" i="119"/>
  <c r="O72" i="119"/>
  <c r="P72" i="119" s="1"/>
  <c r="O123" i="119"/>
  <c r="P123" i="119" s="1"/>
  <c r="M323" i="119"/>
  <c r="O275" i="119"/>
  <c r="P275" i="119" s="1"/>
  <c r="P134" i="119"/>
  <c r="P226" i="119"/>
  <c r="O174" i="119"/>
  <c r="P174" i="119" s="1"/>
  <c r="P67" i="119"/>
  <c r="O173" i="119"/>
  <c r="P173" i="119" s="1"/>
  <c r="O191" i="119"/>
  <c r="P191" i="119" s="1"/>
  <c r="O290" i="119"/>
  <c r="P290" i="119" s="1"/>
  <c r="O295" i="119"/>
  <c r="P295" i="119" s="1"/>
  <c r="O188" i="119"/>
  <c r="P188" i="119" s="1"/>
  <c r="O234" i="119"/>
  <c r="P234" i="119" s="1"/>
  <c r="O296" i="119"/>
  <c r="P296" i="119" s="1"/>
  <c r="J376" i="119"/>
  <c r="I164" i="119"/>
  <c r="O232" i="119"/>
  <c r="P232" i="119" s="1"/>
  <c r="O279" i="119"/>
  <c r="P279" i="119" s="1"/>
  <c r="O284" i="119"/>
  <c r="P284" i="119" s="1"/>
  <c r="M376" i="119"/>
  <c r="O328" i="119"/>
  <c r="P328" i="119" s="1"/>
  <c r="J164" i="119"/>
  <c r="J270" i="119"/>
  <c r="O225" i="119"/>
  <c r="P225" i="119" s="1"/>
  <c r="O240" i="119"/>
  <c r="P240" i="119" s="1"/>
  <c r="O294" i="119"/>
  <c r="P294" i="119" s="1"/>
  <c r="P138" i="119"/>
  <c r="J217" i="119"/>
  <c r="O224" i="119"/>
  <c r="P224" i="119" s="1"/>
  <c r="P229" i="119"/>
  <c r="P236" i="119"/>
  <c r="O236" i="119"/>
  <c r="O390" i="119"/>
  <c r="P390" i="119" s="1"/>
  <c r="P343" i="119"/>
  <c r="P241" i="119"/>
  <c r="O281" i="119"/>
  <c r="P281" i="119" s="1"/>
  <c r="P289" i="119"/>
  <c r="O289" i="119"/>
  <c r="O329" i="119"/>
  <c r="P329" i="119" s="1"/>
  <c r="O341" i="119"/>
  <c r="P341" i="119" s="1"/>
  <c r="O348" i="119"/>
  <c r="P348" i="119" s="1"/>
  <c r="I270" i="119"/>
  <c r="O285" i="119"/>
  <c r="P285" i="119" s="1"/>
  <c r="O333" i="119"/>
  <c r="P333" i="119" s="1"/>
  <c r="P337" i="119"/>
  <c r="I217" i="119"/>
  <c r="P190" i="119"/>
  <c r="O241" i="119"/>
  <c r="J323" i="119"/>
  <c r="O297" i="119"/>
  <c r="P297" i="119" s="1"/>
  <c r="O344" i="119"/>
  <c r="P344" i="119" s="1"/>
  <c r="O394" i="119"/>
  <c r="P394" i="119" s="1"/>
  <c r="O340" i="119"/>
  <c r="P340" i="119" s="1"/>
  <c r="O346" i="119"/>
  <c r="P346" i="119" s="1"/>
  <c r="O292" i="119"/>
  <c r="P292" i="119" s="1"/>
  <c r="O293" i="119"/>
  <c r="P293" i="119" s="1"/>
  <c r="P332" i="119"/>
  <c r="I429" i="119"/>
  <c r="O398" i="119"/>
  <c r="P398" i="119" s="1"/>
  <c r="I323" i="119"/>
  <c r="P282" i="119"/>
  <c r="O332" i="119"/>
  <c r="J429" i="119"/>
  <c r="M381" i="119"/>
  <c r="O382" i="119"/>
  <c r="P382" i="119" s="1"/>
  <c r="P339" i="119"/>
  <c r="O386" i="119"/>
  <c r="P386" i="119" s="1"/>
  <c r="O389" i="119"/>
  <c r="P389" i="119" s="1"/>
  <c r="I376" i="119"/>
  <c r="P336" i="119"/>
  <c r="O397" i="119"/>
  <c r="P397" i="119"/>
  <c r="O391" i="119"/>
  <c r="P391" i="119" s="1"/>
  <c r="O396" i="119"/>
  <c r="P396" i="119" s="1"/>
  <c r="P400" i="119"/>
  <c r="P384" i="119"/>
  <c r="O402" i="119"/>
  <c r="P402" i="119" s="1"/>
  <c r="P393" i="119"/>
  <c r="AR103" i="121"/>
  <c r="O125" i="122"/>
  <c r="P125" i="122" s="1"/>
  <c r="O516" i="122"/>
  <c r="P516" i="122" s="1"/>
  <c r="P307" i="122"/>
  <c r="P224" i="122"/>
  <c r="P423" i="122"/>
  <c r="P403" i="122"/>
  <c r="P31" i="122"/>
  <c r="I201" i="122"/>
  <c r="O519" i="122"/>
  <c r="P519" i="122" s="1"/>
  <c r="O629" i="122"/>
  <c r="P629" i="122" s="1"/>
  <c r="P208" i="122"/>
  <c r="O320" i="122"/>
  <c r="P320" i="122" s="1"/>
  <c r="O24" i="122"/>
  <c r="P24" i="122" s="1"/>
  <c r="M397" i="122"/>
  <c r="O304" i="122"/>
  <c r="P304" i="122" s="1"/>
  <c r="O36" i="122"/>
  <c r="P36" i="122" s="1"/>
  <c r="O41" i="122"/>
  <c r="P41" i="122" s="1"/>
  <c r="O13" i="122"/>
  <c r="P13" i="122" s="1"/>
  <c r="O29" i="122"/>
  <c r="P29" i="122" s="1"/>
  <c r="O33" i="122"/>
  <c r="P33" i="122" s="1"/>
  <c r="O14" i="122"/>
  <c r="P14" i="122" s="1"/>
  <c r="O28" i="122"/>
  <c r="P28" i="122" s="1"/>
  <c r="O32" i="122"/>
  <c r="P32" i="122" s="1"/>
  <c r="O35" i="122"/>
  <c r="P35" i="122" s="1"/>
  <c r="O324" i="122"/>
  <c r="P324" i="122" s="1"/>
  <c r="O214" i="122"/>
  <c r="P214" i="122" s="1"/>
  <c r="O231" i="122"/>
  <c r="P231" i="122" s="1"/>
  <c r="O309" i="122"/>
  <c r="P309" i="122" s="1"/>
  <c r="P404" i="122"/>
  <c r="O628" i="122"/>
  <c r="P628" i="122" s="1"/>
  <c r="P11" i="122"/>
  <c r="O112" i="122"/>
  <c r="P112" i="122" s="1"/>
  <c r="O120" i="122"/>
  <c r="P120" i="122" s="1"/>
  <c r="O529" i="122"/>
  <c r="P529" i="122" s="1"/>
  <c r="O335" i="122"/>
  <c r="P335" i="122" s="1"/>
  <c r="O421" i="122"/>
  <c r="P421" i="122" s="1"/>
  <c r="J103" i="122"/>
  <c r="I103" i="122"/>
  <c r="O22" i="122"/>
  <c r="P22" i="122" s="1"/>
  <c r="O34" i="122"/>
  <c r="P34" i="122" s="1"/>
  <c r="O37" i="122"/>
  <c r="P37" i="122" s="1"/>
  <c r="O40" i="122"/>
  <c r="P40" i="122" s="1"/>
  <c r="O123" i="122"/>
  <c r="P123" i="122" s="1"/>
  <c r="J397" i="122"/>
  <c r="O416" i="122"/>
  <c r="P416" i="122" s="1"/>
  <c r="O132" i="122"/>
  <c r="P132" i="122" s="1"/>
  <c r="P18" i="122"/>
  <c r="O39" i="122"/>
  <c r="P39" i="122" s="1"/>
  <c r="O227" i="122"/>
  <c r="P227" i="122" s="1"/>
  <c r="M103" i="122"/>
  <c r="P10" i="122"/>
  <c r="P111" i="122"/>
  <c r="O111" i="122"/>
  <c r="O139" i="122"/>
  <c r="P139" i="122" s="1"/>
  <c r="O211" i="122"/>
  <c r="P211" i="122" s="1"/>
  <c r="O323" i="122"/>
  <c r="P323" i="122" s="1"/>
  <c r="O127" i="122"/>
  <c r="P127" i="122" s="1"/>
  <c r="O520" i="122"/>
  <c r="P520" i="122" s="1"/>
  <c r="O429" i="122"/>
  <c r="P429" i="122" s="1"/>
  <c r="P25" i="122"/>
  <c r="P12" i="122"/>
  <c r="P27" i="122"/>
  <c r="O135" i="122"/>
  <c r="P135" i="122" s="1"/>
  <c r="O134" i="122"/>
  <c r="P134" i="122" s="1"/>
  <c r="O138" i="122"/>
  <c r="P138" i="122" s="1"/>
  <c r="P305" i="122"/>
  <c r="O305" i="122"/>
  <c r="O329" i="122"/>
  <c r="P329" i="122" s="1"/>
  <c r="J201" i="122"/>
  <c r="O126" i="122"/>
  <c r="P126" i="122" s="1"/>
  <c r="O334" i="122"/>
  <c r="P334" i="122" s="1"/>
  <c r="O418" i="122"/>
  <c r="P418" i="122" s="1"/>
  <c r="M108" i="122"/>
  <c r="O122" i="122"/>
  <c r="P122" i="122" s="1"/>
  <c r="O237" i="122"/>
  <c r="P237" i="122" s="1"/>
  <c r="O330" i="122"/>
  <c r="P330" i="122"/>
  <c r="J495" i="122"/>
  <c r="O113" i="122"/>
  <c r="P113" i="122" s="1"/>
  <c r="P137" i="122"/>
  <c r="O222" i="122"/>
  <c r="P222" i="122" s="1"/>
  <c r="O319" i="122"/>
  <c r="P319" i="122" s="1"/>
  <c r="O402" i="122"/>
  <c r="P402" i="122" s="1"/>
  <c r="M406" i="122"/>
  <c r="O517" i="122"/>
  <c r="P517" i="122" s="1"/>
  <c r="O428" i="122"/>
  <c r="P428" i="122" s="1"/>
  <c r="O502" i="122"/>
  <c r="P502" i="122" s="1"/>
  <c r="O325" i="122"/>
  <c r="P325" i="122" s="1"/>
  <c r="O602" i="122"/>
  <c r="P602" i="122" s="1"/>
  <c r="O225" i="122"/>
  <c r="P225" i="122" s="1"/>
  <c r="O229" i="122"/>
  <c r="P229" i="122" s="1"/>
  <c r="O308" i="122"/>
  <c r="P308" i="122" s="1"/>
  <c r="O328" i="122"/>
  <c r="P328" i="122" s="1"/>
  <c r="O332" i="122"/>
  <c r="P332" i="122" s="1"/>
  <c r="O333" i="122"/>
  <c r="P333" i="122" s="1"/>
  <c r="O405" i="122"/>
  <c r="P405" i="122" s="1"/>
  <c r="P410" i="122"/>
  <c r="O420" i="122"/>
  <c r="P420" i="122" s="1"/>
  <c r="O433" i="122"/>
  <c r="P433" i="122" s="1"/>
  <c r="M593" i="122"/>
  <c r="O500" i="122"/>
  <c r="P500" i="122" s="1"/>
  <c r="P505" i="122"/>
  <c r="O521" i="122"/>
  <c r="P521" i="122" s="1"/>
  <c r="O611" i="122"/>
  <c r="P611" i="122" s="1"/>
  <c r="P425" i="122"/>
  <c r="O116" i="122"/>
  <c r="P116" i="122" s="1"/>
  <c r="O128" i="122"/>
  <c r="P128" i="122" s="1"/>
  <c r="I299" i="122"/>
  <c r="P223" i="122"/>
  <c r="O312" i="122"/>
  <c r="P312" i="122" s="1"/>
  <c r="O331" i="122"/>
  <c r="P331" i="122" s="1"/>
  <c r="O417" i="122"/>
  <c r="P417" i="122" s="1"/>
  <c r="O432" i="122"/>
  <c r="P432" i="122" s="1"/>
  <c r="O515" i="122"/>
  <c r="P515" i="122" s="1"/>
  <c r="O522" i="122"/>
  <c r="P522" i="122" s="1"/>
  <c r="O226" i="122"/>
  <c r="P226" i="122" s="1"/>
  <c r="J299" i="122"/>
  <c r="M206" i="122"/>
  <c r="P207" i="122"/>
  <c r="P209" i="122"/>
  <c r="O218" i="122"/>
  <c r="P218" i="122" s="1"/>
  <c r="I397" i="122"/>
  <c r="P318" i="122"/>
  <c r="O424" i="122"/>
  <c r="P424" i="122" s="1"/>
  <c r="P426" i="122"/>
  <c r="O426" i="122"/>
  <c r="O512" i="122"/>
  <c r="P512" i="122" s="1"/>
  <c r="O620" i="122"/>
  <c r="P620" i="122"/>
  <c r="O415" i="122"/>
  <c r="P415" i="122"/>
  <c r="O504" i="122"/>
  <c r="P504" i="122" s="1"/>
  <c r="P508" i="122"/>
  <c r="O234" i="122"/>
  <c r="P234" i="122" s="1"/>
  <c r="P326" i="122"/>
  <c r="O327" i="122"/>
  <c r="P327" i="122" s="1"/>
  <c r="P414" i="122"/>
  <c r="P501" i="122"/>
  <c r="O621" i="122"/>
  <c r="P621" i="122" s="1"/>
  <c r="O503" i="122"/>
  <c r="P503" i="122" s="1"/>
  <c r="O530" i="122"/>
  <c r="P530" i="122" s="1"/>
  <c r="P615" i="122"/>
  <c r="O615" i="122"/>
  <c r="P431" i="122"/>
  <c r="P427" i="122"/>
  <c r="P526" i="122"/>
  <c r="O625" i="122"/>
  <c r="P625" i="122" s="1"/>
  <c r="O513" i="122"/>
  <c r="P513" i="122" s="1"/>
  <c r="O525" i="122"/>
  <c r="P525" i="122" s="1"/>
  <c r="O606" i="122"/>
  <c r="P606" i="122" s="1"/>
  <c r="O622" i="122"/>
  <c r="P622" i="122" s="1"/>
  <c r="O627" i="122"/>
  <c r="P627" i="122" s="1"/>
  <c r="I495" i="122"/>
  <c r="J593" i="122"/>
  <c r="P518" i="122"/>
  <c r="P601" i="122"/>
  <c r="O600" i="122"/>
  <c r="P600" i="122" s="1"/>
  <c r="J691" i="122"/>
  <c r="I691" i="122"/>
  <c r="I593" i="122"/>
  <c r="P528" i="122"/>
  <c r="M691" i="122"/>
  <c r="O599" i="122"/>
  <c r="P599" i="122" s="1"/>
  <c r="P612" i="122"/>
  <c r="O614" i="122"/>
  <c r="P614" i="122" s="1"/>
  <c r="O618" i="122"/>
  <c r="P618" i="122" s="1"/>
  <c r="O610" i="122"/>
  <c r="P610" i="122" s="1"/>
  <c r="P623" i="122"/>
  <c r="O617" i="122"/>
  <c r="P617" i="122" s="1"/>
  <c r="O626" i="122"/>
  <c r="P626" i="122" s="1"/>
  <c r="F139" i="122"/>
  <c r="F237" i="122" s="1"/>
  <c r="F335" i="122" s="1"/>
  <c r="G86" i="119"/>
  <c r="G139" i="119" s="1"/>
  <c r="G192" i="119" s="1"/>
  <c r="G245" i="119" s="1"/>
  <c r="G298" i="119" s="1"/>
  <c r="G351" i="119" s="1"/>
  <c r="G404" i="119" s="1"/>
  <c r="K12" i="118" l="1"/>
  <c r="F13" i="118"/>
  <c r="K13" i="118" s="1"/>
  <c r="K26" i="118"/>
  <c r="F27" i="118"/>
  <c r="F23" i="118"/>
  <c r="K23" i="118" s="1"/>
  <c r="K22" i="118"/>
  <c r="F18" i="118"/>
  <c r="K18" i="118" s="1"/>
  <c r="K17" i="118"/>
  <c r="G97" i="119"/>
  <c r="G150" i="119" s="1"/>
  <c r="G203" i="119" s="1"/>
  <c r="G256" i="119" s="1"/>
  <c r="G309" i="119" s="1"/>
  <c r="G362" i="119" s="1"/>
  <c r="G415" i="119" s="1"/>
  <c r="G65" i="119"/>
  <c r="G118" i="119" s="1"/>
  <c r="G171" i="119" s="1"/>
  <c r="G224" i="119" s="1"/>
  <c r="G277" i="119" s="1"/>
  <c r="G330" i="119" s="1"/>
  <c r="G383" i="119" s="1"/>
  <c r="G104" i="119"/>
  <c r="G157" i="119" s="1"/>
  <c r="G210" i="119" s="1"/>
  <c r="G263" i="119" s="1"/>
  <c r="G316" i="119" s="1"/>
  <c r="G369" i="119" s="1"/>
  <c r="G422" i="119" s="1"/>
  <c r="G80" i="119"/>
  <c r="G95" i="119"/>
  <c r="G148" i="119" s="1"/>
  <c r="G110" i="119"/>
  <c r="G163" i="119" s="1"/>
  <c r="G216" i="119" s="1"/>
  <c r="G269" i="119" s="1"/>
  <c r="G322" i="119" s="1"/>
  <c r="G375" i="119" s="1"/>
  <c r="G428" i="119" s="1"/>
  <c r="G102" i="119"/>
  <c r="G155" i="119" s="1"/>
  <c r="G208" i="119" s="1"/>
  <c r="G261" i="119" s="1"/>
  <c r="G314" i="119" s="1"/>
  <c r="G367" i="119" s="1"/>
  <c r="G420" i="119" s="1"/>
  <c r="G94" i="119"/>
  <c r="G147" i="119" s="1"/>
  <c r="G200" i="119" s="1"/>
  <c r="G253" i="119" s="1"/>
  <c r="G306" i="119" s="1"/>
  <c r="G359" i="119" s="1"/>
  <c r="G412" i="119" s="1"/>
  <c r="G78" i="119"/>
  <c r="G131" i="119" s="1"/>
  <c r="G70" i="119"/>
  <c r="G123" i="119" s="1"/>
  <c r="G176" i="119" s="1"/>
  <c r="G229" i="119" s="1"/>
  <c r="G282" i="119" s="1"/>
  <c r="G335" i="119" s="1"/>
  <c r="G388" i="119" s="1"/>
  <c r="G101" i="119"/>
  <c r="G77" i="119"/>
  <c r="G130" i="119" s="1"/>
  <c r="G183" i="119" s="1"/>
  <c r="G236" i="119" s="1"/>
  <c r="G289" i="119" s="1"/>
  <c r="G342" i="119" s="1"/>
  <c r="G395" i="119" s="1"/>
  <c r="G105" i="119"/>
  <c r="G158" i="119" s="1"/>
  <c r="G211" i="119" s="1"/>
  <c r="G264" i="119" s="1"/>
  <c r="G317" i="119" s="1"/>
  <c r="G370" i="119" s="1"/>
  <c r="G423" i="119" s="1"/>
  <c r="G96" i="119"/>
  <c r="G149" i="119" s="1"/>
  <c r="G202" i="119" s="1"/>
  <c r="G255" i="119" s="1"/>
  <c r="G308" i="119" s="1"/>
  <c r="G361" i="119" s="1"/>
  <c r="G414" i="119" s="1"/>
  <c r="G72" i="119"/>
  <c r="G125" i="119" s="1"/>
  <c r="G64" i="119"/>
  <c r="G117" i="119" s="1"/>
  <c r="G170" i="119" s="1"/>
  <c r="G223" i="119" s="1"/>
  <c r="G276" i="119" s="1"/>
  <c r="G329" i="119" s="1"/>
  <c r="G382" i="119" s="1"/>
  <c r="G79" i="119"/>
  <c r="G132" i="119" s="1"/>
  <c r="G185" i="119" s="1"/>
  <c r="G238" i="119" s="1"/>
  <c r="G291" i="119" s="1"/>
  <c r="G344" i="119" s="1"/>
  <c r="G397" i="119" s="1"/>
  <c r="G109" i="119"/>
  <c r="G162" i="119" s="1"/>
  <c r="G215" i="119" s="1"/>
  <c r="G268" i="119" s="1"/>
  <c r="G321" i="119" s="1"/>
  <c r="G374" i="119" s="1"/>
  <c r="G427" i="119" s="1"/>
  <c r="G93" i="119"/>
  <c r="G146" i="119" s="1"/>
  <c r="G199" i="119" s="1"/>
  <c r="G252" i="119" s="1"/>
  <c r="G305" i="119" s="1"/>
  <c r="G358" i="119" s="1"/>
  <c r="G411" i="119" s="1"/>
  <c r="G85" i="119"/>
  <c r="G138" i="119" s="1"/>
  <c r="G191" i="119" s="1"/>
  <c r="G244" i="119" s="1"/>
  <c r="G297" i="119" s="1"/>
  <c r="G350" i="119" s="1"/>
  <c r="G403" i="119" s="1"/>
  <c r="G69" i="119"/>
  <c r="G122" i="119" s="1"/>
  <c r="G175" i="119" s="1"/>
  <c r="G228" i="119" s="1"/>
  <c r="G281" i="119" s="1"/>
  <c r="G334" i="119" s="1"/>
  <c r="G387" i="119" s="1"/>
  <c r="G108" i="119"/>
  <c r="G161" i="119" s="1"/>
  <c r="G214" i="119" s="1"/>
  <c r="G267" i="119" s="1"/>
  <c r="G320" i="119" s="1"/>
  <c r="G373" i="119" s="1"/>
  <c r="G426" i="119" s="1"/>
  <c r="G100" i="119"/>
  <c r="G153" i="119" s="1"/>
  <c r="G206" i="119" s="1"/>
  <c r="G259" i="119" s="1"/>
  <c r="G312" i="119" s="1"/>
  <c r="G365" i="119" s="1"/>
  <c r="G418" i="119" s="1"/>
  <c r="G92" i="119"/>
  <c r="G84" i="119"/>
  <c r="G137" i="119" s="1"/>
  <c r="G190" i="119" s="1"/>
  <c r="G243" i="119" s="1"/>
  <c r="G296" i="119" s="1"/>
  <c r="G349" i="119" s="1"/>
  <c r="G402" i="119" s="1"/>
  <c r="G76" i="119"/>
  <c r="G68" i="119"/>
  <c r="G121" i="119" s="1"/>
  <c r="G174" i="119" s="1"/>
  <c r="G227" i="119" s="1"/>
  <c r="G280" i="119" s="1"/>
  <c r="G333" i="119" s="1"/>
  <c r="G386" i="119" s="1"/>
  <c r="G87" i="119"/>
  <c r="G140" i="119" s="1"/>
  <c r="G193" i="119" s="1"/>
  <c r="G246" i="119" s="1"/>
  <c r="G299" i="119" s="1"/>
  <c r="G352" i="119" s="1"/>
  <c r="G405" i="119" s="1"/>
  <c r="G99" i="119"/>
  <c r="G83" i="119"/>
  <c r="G136" i="119" s="1"/>
  <c r="G189" i="119" s="1"/>
  <c r="G242" i="119" s="1"/>
  <c r="G295" i="119" s="1"/>
  <c r="G348" i="119" s="1"/>
  <c r="G401" i="119" s="1"/>
  <c r="G67" i="119"/>
  <c r="G120" i="119" s="1"/>
  <c r="G173" i="119" s="1"/>
  <c r="G226" i="119" s="1"/>
  <c r="G279" i="119" s="1"/>
  <c r="G332" i="119" s="1"/>
  <c r="G385" i="119" s="1"/>
  <c r="G89" i="119"/>
  <c r="G88" i="119"/>
  <c r="G103" i="119"/>
  <c r="G156" i="119" s="1"/>
  <c r="G209" i="119" s="1"/>
  <c r="G262" i="119" s="1"/>
  <c r="G315" i="119" s="1"/>
  <c r="G368" i="119" s="1"/>
  <c r="G421" i="119" s="1"/>
  <c r="G71" i="119"/>
  <c r="G107" i="119"/>
  <c r="G160" i="119" s="1"/>
  <c r="G91" i="119"/>
  <c r="G75" i="119"/>
  <c r="G128" i="119" s="1"/>
  <c r="G181" i="119" s="1"/>
  <c r="G234" i="119" s="1"/>
  <c r="G287" i="119" s="1"/>
  <c r="G340" i="119" s="1"/>
  <c r="G393" i="119" s="1"/>
  <c r="G106" i="119"/>
  <c r="G159" i="119" s="1"/>
  <c r="G212" i="119" s="1"/>
  <c r="G265" i="119" s="1"/>
  <c r="G318" i="119" s="1"/>
  <c r="G371" i="119" s="1"/>
  <c r="G424" i="119" s="1"/>
  <c r="G98" i="119"/>
  <c r="G151" i="119" s="1"/>
  <c r="G204" i="119" s="1"/>
  <c r="G257" i="119" s="1"/>
  <c r="G310" i="119" s="1"/>
  <c r="G363" i="119" s="1"/>
  <c r="G416" i="119" s="1"/>
  <c r="G90" i="119"/>
  <c r="G82" i="119"/>
  <c r="G66" i="119"/>
  <c r="G119" i="119" s="1"/>
  <c r="G172" i="119" s="1"/>
  <c r="G225" i="119" s="1"/>
  <c r="G278" i="119" s="1"/>
  <c r="G331" i="119" s="1"/>
  <c r="G384" i="119" s="1"/>
  <c r="O63" i="119"/>
  <c r="P63" i="119" s="1"/>
  <c r="G154" i="119"/>
  <c r="M429" i="119"/>
  <c r="O381" i="119"/>
  <c r="P381" i="119" s="1"/>
  <c r="G152" i="119"/>
  <c r="G129" i="119"/>
  <c r="G201" i="119"/>
  <c r="G254" i="119" s="1"/>
  <c r="G307" i="119" s="1"/>
  <c r="G360" i="119" s="1"/>
  <c r="G413" i="119" s="1"/>
  <c r="G188" i="122"/>
  <c r="G286" i="122" s="1"/>
  <c r="G384" i="122" s="1"/>
  <c r="G482" i="122" s="1"/>
  <c r="G580" i="122" s="1"/>
  <c r="G678" i="122" s="1"/>
  <c r="G172" i="122"/>
  <c r="G270" i="122" s="1"/>
  <c r="G368" i="122" s="1"/>
  <c r="G466" i="122" s="1"/>
  <c r="G564" i="122" s="1"/>
  <c r="G662" i="122" s="1"/>
  <c r="G156" i="122"/>
  <c r="G254" i="122" s="1"/>
  <c r="G352" i="122" s="1"/>
  <c r="G450" i="122" s="1"/>
  <c r="G548" i="122" s="1"/>
  <c r="G646" i="122" s="1"/>
  <c r="G132" i="122"/>
  <c r="G230" i="122" s="1"/>
  <c r="G196" i="122"/>
  <c r="G294" i="122" s="1"/>
  <c r="G392" i="122" s="1"/>
  <c r="G490" i="122" s="1"/>
  <c r="G588" i="122" s="1"/>
  <c r="G686" i="122" s="1"/>
  <c r="G180" i="122"/>
  <c r="G278" i="122" s="1"/>
  <c r="G376" i="122" s="1"/>
  <c r="G474" i="122" s="1"/>
  <c r="G572" i="122" s="1"/>
  <c r="G670" i="122" s="1"/>
  <c r="G164" i="122"/>
  <c r="G262" i="122" s="1"/>
  <c r="G360" i="122" s="1"/>
  <c r="G458" i="122" s="1"/>
  <c r="G556" i="122" s="1"/>
  <c r="G654" i="122" s="1"/>
  <c r="G148" i="122"/>
  <c r="G246" i="122" s="1"/>
  <c r="G344" i="122" s="1"/>
  <c r="G442" i="122" s="1"/>
  <c r="G540" i="122" s="1"/>
  <c r="G638" i="122" s="1"/>
  <c r="G140" i="122"/>
  <c r="G238" i="122" s="1"/>
  <c r="G336" i="122" s="1"/>
  <c r="G434" i="122" s="1"/>
  <c r="G532" i="122" s="1"/>
  <c r="G630" i="122" s="1"/>
  <c r="G115" i="122"/>
  <c r="G213" i="122" s="1"/>
  <c r="G311" i="122" s="1"/>
  <c r="G409" i="122" s="1"/>
  <c r="G507" i="122" s="1"/>
  <c r="G605" i="122" s="1"/>
  <c r="G186" i="122"/>
  <c r="G284" i="122" s="1"/>
  <c r="G382" i="122" s="1"/>
  <c r="G480" i="122" s="1"/>
  <c r="G578" i="122" s="1"/>
  <c r="G676" i="122" s="1"/>
  <c r="G193" i="122"/>
  <c r="G291" i="122" s="1"/>
  <c r="G389" i="122" s="1"/>
  <c r="G487" i="122" s="1"/>
  <c r="G585" i="122" s="1"/>
  <c r="G683" i="122" s="1"/>
  <c r="G185" i="122"/>
  <c r="G283" i="122" s="1"/>
  <c r="G381" i="122" s="1"/>
  <c r="G479" i="122" s="1"/>
  <c r="G577" i="122" s="1"/>
  <c r="G675" i="122" s="1"/>
  <c r="G177" i="122"/>
  <c r="G275" i="122" s="1"/>
  <c r="G373" i="122" s="1"/>
  <c r="G471" i="122" s="1"/>
  <c r="G569" i="122" s="1"/>
  <c r="G667" i="122" s="1"/>
  <c r="G169" i="122"/>
  <c r="G267" i="122" s="1"/>
  <c r="G365" i="122" s="1"/>
  <c r="G463" i="122" s="1"/>
  <c r="G561" i="122" s="1"/>
  <c r="G659" i="122" s="1"/>
  <c r="G161" i="122"/>
  <c r="G259" i="122" s="1"/>
  <c r="G357" i="122" s="1"/>
  <c r="G455" i="122" s="1"/>
  <c r="G553" i="122" s="1"/>
  <c r="G651" i="122" s="1"/>
  <c r="G153" i="122"/>
  <c r="G251" i="122" s="1"/>
  <c r="G349" i="122" s="1"/>
  <c r="G447" i="122" s="1"/>
  <c r="G545" i="122" s="1"/>
  <c r="G643" i="122" s="1"/>
  <c r="G145" i="122"/>
  <c r="G243" i="122" s="1"/>
  <c r="G341" i="122" s="1"/>
  <c r="G439" i="122" s="1"/>
  <c r="G537" i="122" s="1"/>
  <c r="G635" i="122" s="1"/>
  <c r="G137" i="122"/>
  <c r="G235" i="122" s="1"/>
  <c r="G129" i="122"/>
  <c r="G120" i="122"/>
  <c r="G218" i="122" s="1"/>
  <c r="G316" i="122" s="1"/>
  <c r="G414" i="122" s="1"/>
  <c r="G512" i="122" s="1"/>
  <c r="G610" i="122" s="1"/>
  <c r="G112" i="122"/>
  <c r="G210" i="122" s="1"/>
  <c r="G308" i="122" s="1"/>
  <c r="G406" i="122" s="1"/>
  <c r="G171" i="122"/>
  <c r="G269" i="122" s="1"/>
  <c r="G367" i="122" s="1"/>
  <c r="G465" i="122" s="1"/>
  <c r="G563" i="122" s="1"/>
  <c r="G661" i="122" s="1"/>
  <c r="G170" i="122"/>
  <c r="G268" i="122" s="1"/>
  <c r="G366" i="122" s="1"/>
  <c r="G464" i="122" s="1"/>
  <c r="G562" i="122" s="1"/>
  <c r="G660" i="122" s="1"/>
  <c r="G113" i="122"/>
  <c r="G211" i="122" s="1"/>
  <c r="G309" i="122" s="1"/>
  <c r="G407" i="122" s="1"/>
  <c r="G505" i="122" s="1"/>
  <c r="G603" i="122" s="1"/>
  <c r="G168" i="122"/>
  <c r="G266" i="122" s="1"/>
  <c r="G364" i="122" s="1"/>
  <c r="G462" i="122" s="1"/>
  <c r="G560" i="122" s="1"/>
  <c r="G658" i="122" s="1"/>
  <c r="G152" i="122"/>
  <c r="G250" i="122" s="1"/>
  <c r="G348" i="122" s="1"/>
  <c r="G446" i="122" s="1"/>
  <c r="G544" i="122" s="1"/>
  <c r="G642" i="122" s="1"/>
  <c r="G128" i="122"/>
  <c r="G226" i="122" s="1"/>
  <c r="G324" i="122" s="1"/>
  <c r="G422" i="122" s="1"/>
  <c r="G520" i="122" s="1"/>
  <c r="G618" i="122" s="1"/>
  <c r="G111" i="122"/>
  <c r="G209" i="122" s="1"/>
  <c r="G307" i="122" s="1"/>
  <c r="G405" i="122" s="1"/>
  <c r="G503" i="122" s="1"/>
  <c r="G601" i="122" s="1"/>
  <c r="G179" i="122"/>
  <c r="G277" i="122" s="1"/>
  <c r="G375" i="122" s="1"/>
  <c r="G473" i="122" s="1"/>
  <c r="G571" i="122" s="1"/>
  <c r="G669" i="122" s="1"/>
  <c r="G131" i="122"/>
  <c r="G229" i="122" s="1"/>
  <c r="G327" i="122" s="1"/>
  <c r="G425" i="122" s="1"/>
  <c r="G523" i="122" s="1"/>
  <c r="G621" i="122" s="1"/>
  <c r="G192" i="122"/>
  <c r="G290" i="122" s="1"/>
  <c r="G388" i="122" s="1"/>
  <c r="G486" i="122" s="1"/>
  <c r="G584" i="122" s="1"/>
  <c r="G682" i="122" s="1"/>
  <c r="G176" i="122"/>
  <c r="G274" i="122" s="1"/>
  <c r="G372" i="122" s="1"/>
  <c r="G470" i="122" s="1"/>
  <c r="G568" i="122" s="1"/>
  <c r="G666" i="122" s="1"/>
  <c r="G160" i="122"/>
  <c r="G258" i="122" s="1"/>
  <c r="G356" i="122" s="1"/>
  <c r="G454" i="122" s="1"/>
  <c r="G552" i="122" s="1"/>
  <c r="G650" i="122" s="1"/>
  <c r="G144" i="122"/>
  <c r="G242" i="122" s="1"/>
  <c r="G340" i="122" s="1"/>
  <c r="G438" i="122" s="1"/>
  <c r="G536" i="122" s="1"/>
  <c r="G634" i="122" s="1"/>
  <c r="G119" i="122"/>
  <c r="G217" i="122" s="1"/>
  <c r="G315" i="122" s="1"/>
  <c r="G413" i="122" s="1"/>
  <c r="G511" i="122" s="1"/>
  <c r="G609" i="122" s="1"/>
  <c r="G200" i="122"/>
  <c r="G298" i="122" s="1"/>
  <c r="G396" i="122" s="1"/>
  <c r="G494" i="122" s="1"/>
  <c r="G592" i="122" s="1"/>
  <c r="G690" i="122" s="1"/>
  <c r="G191" i="122"/>
  <c r="G289" i="122" s="1"/>
  <c r="G387" i="122" s="1"/>
  <c r="G485" i="122" s="1"/>
  <c r="G583" i="122" s="1"/>
  <c r="G681" i="122" s="1"/>
  <c r="G183" i="122"/>
  <c r="G281" i="122" s="1"/>
  <c r="G379" i="122" s="1"/>
  <c r="G477" i="122" s="1"/>
  <c r="G575" i="122" s="1"/>
  <c r="G673" i="122" s="1"/>
  <c r="G175" i="122"/>
  <c r="G273" i="122" s="1"/>
  <c r="G371" i="122" s="1"/>
  <c r="G469" i="122" s="1"/>
  <c r="G567" i="122" s="1"/>
  <c r="G665" i="122" s="1"/>
  <c r="G167" i="122"/>
  <c r="G265" i="122" s="1"/>
  <c r="G363" i="122" s="1"/>
  <c r="G461" i="122" s="1"/>
  <c r="G559" i="122" s="1"/>
  <c r="G657" i="122" s="1"/>
  <c r="G159" i="122"/>
  <c r="G257" i="122" s="1"/>
  <c r="G355" i="122" s="1"/>
  <c r="G453" i="122" s="1"/>
  <c r="G551" i="122" s="1"/>
  <c r="G649" i="122" s="1"/>
  <c r="G151" i="122"/>
  <c r="G249" i="122" s="1"/>
  <c r="G347" i="122" s="1"/>
  <c r="G445" i="122" s="1"/>
  <c r="G543" i="122" s="1"/>
  <c r="G641" i="122" s="1"/>
  <c r="G143" i="122"/>
  <c r="G241" i="122" s="1"/>
  <c r="G339" i="122" s="1"/>
  <c r="G437" i="122" s="1"/>
  <c r="G535" i="122" s="1"/>
  <c r="G633" i="122" s="1"/>
  <c r="G135" i="122"/>
  <c r="G233" i="122" s="1"/>
  <c r="G331" i="122" s="1"/>
  <c r="G429" i="122" s="1"/>
  <c r="G527" i="122" s="1"/>
  <c r="G625" i="122" s="1"/>
  <c r="G127" i="122"/>
  <c r="G225" i="122" s="1"/>
  <c r="G323" i="122" s="1"/>
  <c r="G421" i="122" s="1"/>
  <c r="G519" i="122" s="1"/>
  <c r="G617" i="122" s="1"/>
  <c r="G118" i="122"/>
  <c r="G216" i="122" s="1"/>
  <c r="G314" i="122" s="1"/>
  <c r="G412" i="122" s="1"/>
  <c r="G510" i="122" s="1"/>
  <c r="G608" i="122" s="1"/>
  <c r="G110" i="122"/>
  <c r="G208" i="122" s="1"/>
  <c r="G306" i="122" s="1"/>
  <c r="G404" i="122" s="1"/>
  <c r="G502" i="122" s="1"/>
  <c r="G600" i="122" s="1"/>
  <c r="G195" i="122"/>
  <c r="G293" i="122" s="1"/>
  <c r="G391" i="122" s="1"/>
  <c r="G489" i="122" s="1"/>
  <c r="G587" i="122" s="1"/>
  <c r="G685" i="122" s="1"/>
  <c r="G123" i="122"/>
  <c r="G221" i="122" s="1"/>
  <c r="G319" i="122" s="1"/>
  <c r="G417" i="122" s="1"/>
  <c r="G515" i="122" s="1"/>
  <c r="G613" i="122" s="1"/>
  <c r="G199" i="122"/>
  <c r="G297" i="122" s="1"/>
  <c r="G395" i="122" s="1"/>
  <c r="G493" i="122" s="1"/>
  <c r="G591" i="122" s="1"/>
  <c r="G689" i="122" s="1"/>
  <c r="G190" i="122"/>
  <c r="G288" i="122" s="1"/>
  <c r="G386" i="122" s="1"/>
  <c r="G484" i="122" s="1"/>
  <c r="G582" i="122" s="1"/>
  <c r="G680" i="122" s="1"/>
  <c r="G182" i="122"/>
  <c r="G280" i="122" s="1"/>
  <c r="G378" i="122" s="1"/>
  <c r="G476" i="122" s="1"/>
  <c r="G574" i="122" s="1"/>
  <c r="G672" i="122" s="1"/>
  <c r="G174" i="122"/>
  <c r="G272" i="122" s="1"/>
  <c r="G370" i="122" s="1"/>
  <c r="G468" i="122" s="1"/>
  <c r="G566" i="122" s="1"/>
  <c r="G664" i="122" s="1"/>
  <c r="G166" i="122"/>
  <c r="G264" i="122" s="1"/>
  <c r="G362" i="122" s="1"/>
  <c r="G460" i="122" s="1"/>
  <c r="G558" i="122" s="1"/>
  <c r="G656" i="122" s="1"/>
  <c r="G158" i="122"/>
  <c r="G256" i="122" s="1"/>
  <c r="G354" i="122" s="1"/>
  <c r="G452" i="122" s="1"/>
  <c r="G550" i="122" s="1"/>
  <c r="G648" i="122" s="1"/>
  <c r="G150" i="122"/>
  <c r="G248" i="122" s="1"/>
  <c r="G346" i="122" s="1"/>
  <c r="G444" i="122" s="1"/>
  <c r="G542" i="122" s="1"/>
  <c r="G640" i="122" s="1"/>
  <c r="G142" i="122"/>
  <c r="G240" i="122" s="1"/>
  <c r="G338" i="122" s="1"/>
  <c r="G436" i="122" s="1"/>
  <c r="G534" i="122" s="1"/>
  <c r="G632" i="122" s="1"/>
  <c r="G134" i="122"/>
  <c r="G232" i="122" s="1"/>
  <c r="G330" i="122" s="1"/>
  <c r="G428" i="122" s="1"/>
  <c r="G526" i="122" s="1"/>
  <c r="G624" i="122" s="1"/>
  <c r="G126" i="122"/>
  <c r="G224" i="122" s="1"/>
  <c r="G322" i="122" s="1"/>
  <c r="G420" i="122" s="1"/>
  <c r="G518" i="122" s="1"/>
  <c r="G616" i="122" s="1"/>
  <c r="G117" i="122"/>
  <c r="G215" i="122" s="1"/>
  <c r="G313" i="122" s="1"/>
  <c r="G411" i="122" s="1"/>
  <c r="G509" i="122" s="1"/>
  <c r="G607" i="122" s="1"/>
  <c r="G109" i="122"/>
  <c r="G207" i="122" s="1"/>
  <c r="G305" i="122" s="1"/>
  <c r="G403" i="122" s="1"/>
  <c r="G501" i="122" s="1"/>
  <c r="G599" i="122" s="1"/>
  <c r="G187" i="122"/>
  <c r="G285" i="122" s="1"/>
  <c r="G383" i="122" s="1"/>
  <c r="G481" i="122" s="1"/>
  <c r="G579" i="122" s="1"/>
  <c r="G677" i="122" s="1"/>
  <c r="G163" i="122"/>
  <c r="G261" i="122" s="1"/>
  <c r="G359" i="122" s="1"/>
  <c r="G457" i="122" s="1"/>
  <c r="G555" i="122" s="1"/>
  <c r="G653" i="122" s="1"/>
  <c r="G155" i="122"/>
  <c r="G253" i="122" s="1"/>
  <c r="G351" i="122" s="1"/>
  <c r="G449" i="122" s="1"/>
  <c r="G547" i="122" s="1"/>
  <c r="G645" i="122" s="1"/>
  <c r="G147" i="122"/>
  <c r="G245" i="122" s="1"/>
  <c r="G343" i="122" s="1"/>
  <c r="G441" i="122" s="1"/>
  <c r="G539" i="122" s="1"/>
  <c r="G637" i="122" s="1"/>
  <c r="G139" i="122"/>
  <c r="G237" i="122" s="1"/>
  <c r="G114" i="122"/>
  <c r="G212" i="122" s="1"/>
  <c r="G310" i="122" s="1"/>
  <c r="G408" i="122" s="1"/>
  <c r="G506" i="122" s="1"/>
  <c r="G604" i="122" s="1"/>
  <c r="G194" i="122"/>
  <c r="G292" i="122" s="1"/>
  <c r="G390" i="122" s="1"/>
  <c r="G488" i="122" s="1"/>
  <c r="G586" i="122" s="1"/>
  <c r="G684" i="122" s="1"/>
  <c r="G178" i="122"/>
  <c r="G276" i="122" s="1"/>
  <c r="G374" i="122" s="1"/>
  <c r="G472" i="122" s="1"/>
  <c r="G570" i="122" s="1"/>
  <c r="G668" i="122" s="1"/>
  <c r="G162" i="122"/>
  <c r="G260" i="122" s="1"/>
  <c r="G358" i="122" s="1"/>
  <c r="G456" i="122" s="1"/>
  <c r="G554" i="122" s="1"/>
  <c r="G652" i="122" s="1"/>
  <c r="G154" i="122"/>
  <c r="G252" i="122" s="1"/>
  <c r="G350" i="122" s="1"/>
  <c r="G448" i="122" s="1"/>
  <c r="G546" i="122" s="1"/>
  <c r="G644" i="122" s="1"/>
  <c r="G146" i="122"/>
  <c r="G244" i="122" s="1"/>
  <c r="G342" i="122" s="1"/>
  <c r="G440" i="122" s="1"/>
  <c r="G538" i="122" s="1"/>
  <c r="G636" i="122" s="1"/>
  <c r="G138" i="122"/>
  <c r="G236" i="122" s="1"/>
  <c r="G334" i="122" s="1"/>
  <c r="G432" i="122" s="1"/>
  <c r="G530" i="122" s="1"/>
  <c r="G628" i="122" s="1"/>
  <c r="G130" i="122"/>
  <c r="G122" i="122"/>
  <c r="G220" i="122" s="1"/>
  <c r="G318" i="122" s="1"/>
  <c r="G416" i="122" s="1"/>
  <c r="G514" i="122" s="1"/>
  <c r="G612" i="122" s="1"/>
  <c r="G184" i="122"/>
  <c r="G282" i="122" s="1"/>
  <c r="G380" i="122" s="1"/>
  <c r="G478" i="122" s="1"/>
  <c r="G576" i="122" s="1"/>
  <c r="G674" i="122" s="1"/>
  <c r="G136" i="122"/>
  <c r="G197" i="122"/>
  <c r="G295" i="122" s="1"/>
  <c r="G393" i="122" s="1"/>
  <c r="G491" i="122" s="1"/>
  <c r="G589" i="122" s="1"/>
  <c r="G687" i="122" s="1"/>
  <c r="G189" i="122"/>
  <c r="G287" i="122" s="1"/>
  <c r="G385" i="122" s="1"/>
  <c r="G483" i="122" s="1"/>
  <c r="G581" i="122" s="1"/>
  <c r="G679" i="122" s="1"/>
  <c r="G181" i="122"/>
  <c r="G279" i="122" s="1"/>
  <c r="G377" i="122" s="1"/>
  <c r="G475" i="122" s="1"/>
  <c r="G573" i="122" s="1"/>
  <c r="G671" i="122" s="1"/>
  <c r="G173" i="122"/>
  <c r="G271" i="122" s="1"/>
  <c r="G369" i="122" s="1"/>
  <c r="G467" i="122" s="1"/>
  <c r="G565" i="122" s="1"/>
  <c r="G663" i="122" s="1"/>
  <c r="G165" i="122"/>
  <c r="G263" i="122" s="1"/>
  <c r="G361" i="122" s="1"/>
  <c r="G459" i="122" s="1"/>
  <c r="G557" i="122" s="1"/>
  <c r="G655" i="122" s="1"/>
  <c r="G157" i="122"/>
  <c r="G255" i="122" s="1"/>
  <c r="G353" i="122" s="1"/>
  <c r="G451" i="122" s="1"/>
  <c r="G549" i="122" s="1"/>
  <c r="G647" i="122" s="1"/>
  <c r="G149" i="122"/>
  <c r="G247" i="122" s="1"/>
  <c r="G345" i="122" s="1"/>
  <c r="G443" i="122" s="1"/>
  <c r="G541" i="122" s="1"/>
  <c r="G639" i="122" s="1"/>
  <c r="G141" i="122"/>
  <c r="G239" i="122" s="1"/>
  <c r="G337" i="122" s="1"/>
  <c r="G435" i="122" s="1"/>
  <c r="G533" i="122" s="1"/>
  <c r="G631" i="122" s="1"/>
  <c r="G133" i="122"/>
  <c r="G125" i="122"/>
  <c r="G223" i="122" s="1"/>
  <c r="G321" i="122" s="1"/>
  <c r="G419" i="122" s="1"/>
  <c r="G517" i="122" s="1"/>
  <c r="G615" i="122" s="1"/>
  <c r="G116" i="122"/>
  <c r="G214" i="122" s="1"/>
  <c r="G312" i="122" s="1"/>
  <c r="G410" i="122" s="1"/>
  <c r="G508" i="122" s="1"/>
  <c r="G606" i="122" s="1"/>
  <c r="F433" i="122"/>
  <c r="O322" i="122"/>
  <c r="P322" i="122" s="1"/>
  <c r="M299" i="122"/>
  <c r="O206" i="122"/>
  <c r="P206" i="122" s="1"/>
  <c r="M201" i="122"/>
  <c r="O108" i="122"/>
  <c r="P108" i="122" s="1"/>
  <c r="O406" i="122"/>
  <c r="P406" i="122" s="1"/>
  <c r="G504" i="122"/>
  <c r="G602" i="122" s="1"/>
  <c r="M495" i="122"/>
  <c r="O233" i="122" l="1"/>
  <c r="P233" i="122" s="1"/>
  <c r="K27" i="118"/>
  <c r="F28" i="118"/>
  <c r="F70" i="119"/>
  <c r="H17" i="119"/>
  <c r="N17" i="119" s="1"/>
  <c r="F80" i="119"/>
  <c r="H27" i="119"/>
  <c r="N27" i="119" s="1"/>
  <c r="F89" i="119"/>
  <c r="H36" i="119"/>
  <c r="N36" i="119" s="1"/>
  <c r="F110" i="119"/>
  <c r="H57" i="119"/>
  <c r="N57" i="119" s="1"/>
  <c r="F74" i="119"/>
  <c r="H21" i="119"/>
  <c r="N21" i="119" s="1"/>
  <c r="G133" i="119"/>
  <c r="G186" i="119" s="1"/>
  <c r="G239" i="119" s="1"/>
  <c r="G292" i="119" s="1"/>
  <c r="G345" i="119" s="1"/>
  <c r="G398" i="119" s="1"/>
  <c r="O80" i="119"/>
  <c r="P80" i="119" s="1"/>
  <c r="G74" i="119"/>
  <c r="G127" i="119" s="1"/>
  <c r="G180" i="119" s="1"/>
  <c r="G233" i="119" s="1"/>
  <c r="G286" i="119" s="1"/>
  <c r="G339" i="119" s="1"/>
  <c r="G392" i="119" s="1"/>
  <c r="O21" i="119"/>
  <c r="P21" i="119" s="1"/>
  <c r="F88" i="119"/>
  <c r="H35" i="119"/>
  <c r="N35" i="119" s="1"/>
  <c r="H30" i="119"/>
  <c r="N30" i="119" s="1"/>
  <c r="F83" i="119"/>
  <c r="F85" i="119"/>
  <c r="H32" i="119"/>
  <c r="N32" i="119" s="1"/>
  <c r="F105" i="119"/>
  <c r="H52" i="119"/>
  <c r="N52" i="119" s="1"/>
  <c r="F69" i="119"/>
  <c r="H16" i="119"/>
  <c r="N16" i="119" s="1"/>
  <c r="F82" i="119"/>
  <c r="H29" i="119"/>
  <c r="N29" i="119" s="1"/>
  <c r="H22" i="119"/>
  <c r="N22" i="119" s="1"/>
  <c r="F75" i="119"/>
  <c r="F77" i="119"/>
  <c r="H24" i="119"/>
  <c r="N24" i="119" s="1"/>
  <c r="F92" i="119"/>
  <c r="H39" i="119"/>
  <c r="N39" i="119" s="1"/>
  <c r="G184" i="119"/>
  <c r="O131" i="119"/>
  <c r="P131" i="119" s="1"/>
  <c r="F68" i="119"/>
  <c r="H15" i="119"/>
  <c r="N15" i="119" s="1"/>
  <c r="F76" i="119"/>
  <c r="H23" i="119"/>
  <c r="N23" i="119" s="1"/>
  <c r="F108" i="119"/>
  <c r="H55" i="119"/>
  <c r="N55" i="119" s="1"/>
  <c r="F86" i="119"/>
  <c r="H33" i="119"/>
  <c r="N33" i="119" s="1"/>
  <c r="H10" i="119"/>
  <c r="F63" i="119"/>
  <c r="F58" i="119"/>
  <c r="F97" i="119"/>
  <c r="H44" i="119"/>
  <c r="N44" i="119" s="1"/>
  <c r="F103" i="119"/>
  <c r="H50" i="119"/>
  <c r="N50" i="119" s="1"/>
  <c r="F106" i="119"/>
  <c r="H53" i="119"/>
  <c r="N53" i="119" s="1"/>
  <c r="F95" i="119"/>
  <c r="H42" i="119"/>
  <c r="N42" i="119" s="1"/>
  <c r="F100" i="119"/>
  <c r="H47" i="119"/>
  <c r="N47" i="119" s="1"/>
  <c r="G135" i="119"/>
  <c r="O82" i="119"/>
  <c r="P82" i="119" s="1"/>
  <c r="F64" i="119"/>
  <c r="H11" i="119"/>
  <c r="N11" i="119" s="1"/>
  <c r="F96" i="119"/>
  <c r="H43" i="119"/>
  <c r="N43" i="119" s="1"/>
  <c r="F107" i="119"/>
  <c r="H54" i="119"/>
  <c r="N54" i="119" s="1"/>
  <c r="F87" i="119"/>
  <c r="H34" i="119"/>
  <c r="N34" i="119" s="1"/>
  <c r="H12" i="119"/>
  <c r="N12" i="119" s="1"/>
  <c r="F65" i="119"/>
  <c r="H14" i="119"/>
  <c r="N14" i="119" s="1"/>
  <c r="F67" i="119"/>
  <c r="F101" i="119"/>
  <c r="H48" i="119"/>
  <c r="N48" i="119" s="1"/>
  <c r="H37" i="119"/>
  <c r="N37" i="119" s="1"/>
  <c r="F90" i="119"/>
  <c r="F99" i="119"/>
  <c r="H46" i="119"/>
  <c r="N46" i="119" s="1"/>
  <c r="F109" i="119"/>
  <c r="H56" i="119"/>
  <c r="N56" i="119" s="1"/>
  <c r="F78" i="119"/>
  <c r="H25" i="119"/>
  <c r="N25" i="119" s="1"/>
  <c r="F93" i="119"/>
  <c r="H40" i="119"/>
  <c r="N40" i="119" s="1"/>
  <c r="F71" i="119"/>
  <c r="H18" i="119"/>
  <c r="N18" i="119" s="1"/>
  <c r="F84" i="119"/>
  <c r="H31" i="119"/>
  <c r="N31" i="119" s="1"/>
  <c r="F102" i="119"/>
  <c r="H49" i="119"/>
  <c r="N49" i="119" s="1"/>
  <c r="H26" i="119"/>
  <c r="N26" i="119" s="1"/>
  <c r="F79" i="119"/>
  <c r="G73" i="119"/>
  <c r="G126" i="119" s="1"/>
  <c r="G179" i="119" s="1"/>
  <c r="G232" i="119" s="1"/>
  <c r="G285" i="119" s="1"/>
  <c r="G338" i="119" s="1"/>
  <c r="G391" i="119" s="1"/>
  <c r="O20" i="119"/>
  <c r="P20" i="119" s="1"/>
  <c r="G58" i="119"/>
  <c r="G63" i="119"/>
  <c r="F72" i="119"/>
  <c r="H19" i="119"/>
  <c r="N19" i="119" s="1"/>
  <c r="F104" i="119"/>
  <c r="H51" i="119"/>
  <c r="N51" i="119" s="1"/>
  <c r="F73" i="119"/>
  <c r="H20" i="119"/>
  <c r="N20" i="119" s="1"/>
  <c r="G124" i="119"/>
  <c r="G177" i="119" s="1"/>
  <c r="G230" i="119" s="1"/>
  <c r="G283" i="119" s="1"/>
  <c r="G336" i="119" s="1"/>
  <c r="G389" i="119" s="1"/>
  <c r="O71" i="119"/>
  <c r="P71" i="119" s="1"/>
  <c r="F94" i="119"/>
  <c r="H41" i="119"/>
  <c r="N41" i="119" s="1"/>
  <c r="F81" i="119"/>
  <c r="H28" i="119"/>
  <c r="N28" i="119" s="1"/>
  <c r="F91" i="119"/>
  <c r="H38" i="119"/>
  <c r="N38" i="119" s="1"/>
  <c r="G81" i="119"/>
  <c r="O28" i="119"/>
  <c r="P28" i="119" s="1"/>
  <c r="F66" i="119"/>
  <c r="H13" i="119"/>
  <c r="N13" i="119" s="1"/>
  <c r="F98" i="119"/>
  <c r="H45" i="119"/>
  <c r="N45" i="119" s="1"/>
  <c r="G205" i="119"/>
  <c r="G178" i="119"/>
  <c r="G182" i="119"/>
  <c r="G213" i="119"/>
  <c r="G207" i="119"/>
  <c r="H69" i="122"/>
  <c r="N69" i="122" s="1"/>
  <c r="F167" i="122"/>
  <c r="F184" i="122"/>
  <c r="H86" i="122"/>
  <c r="N86" i="122" s="1"/>
  <c r="H31" i="122"/>
  <c r="N31" i="122" s="1"/>
  <c r="F129" i="122"/>
  <c r="H63" i="122"/>
  <c r="N63" i="122" s="1"/>
  <c r="F161" i="122"/>
  <c r="H95" i="122"/>
  <c r="N95" i="122" s="1"/>
  <c r="F193" i="122"/>
  <c r="F124" i="122"/>
  <c r="H26" i="122"/>
  <c r="N26" i="122" s="1"/>
  <c r="G228" i="122"/>
  <c r="G326" i="122" s="1"/>
  <c r="G424" i="122" s="1"/>
  <c r="G522" i="122" s="1"/>
  <c r="G620" i="122" s="1"/>
  <c r="O130" i="122"/>
  <c r="P130" i="122" s="1"/>
  <c r="H28" i="122"/>
  <c r="N28" i="122" s="1"/>
  <c r="F126" i="122"/>
  <c r="H61" i="122"/>
  <c r="N61" i="122" s="1"/>
  <c r="F159" i="122"/>
  <c r="G227" i="122"/>
  <c r="G325" i="122" s="1"/>
  <c r="G423" i="122" s="1"/>
  <c r="G521" i="122" s="1"/>
  <c r="G619" i="122" s="1"/>
  <c r="O129" i="122"/>
  <c r="P129" i="122" s="1"/>
  <c r="H35" i="122"/>
  <c r="N35" i="122" s="1"/>
  <c r="F133" i="122"/>
  <c r="H67" i="122"/>
  <c r="N67" i="122" s="1"/>
  <c r="F165" i="122"/>
  <c r="H99" i="122"/>
  <c r="N99" i="122" s="1"/>
  <c r="F197" i="122"/>
  <c r="H139" i="122"/>
  <c r="N139" i="122" s="1"/>
  <c r="H32" i="122"/>
  <c r="N32" i="122" s="1"/>
  <c r="F130" i="122"/>
  <c r="H64" i="122"/>
  <c r="N64" i="122" s="1"/>
  <c r="F162" i="122"/>
  <c r="F194" i="122"/>
  <c r="H96" i="122"/>
  <c r="N96" i="122" s="1"/>
  <c r="H93" i="122"/>
  <c r="N93" i="122" s="1"/>
  <c r="F191" i="122"/>
  <c r="H49" i="122"/>
  <c r="N49" i="122" s="1"/>
  <c r="F147" i="122"/>
  <c r="H81" i="122"/>
  <c r="N81" i="122" s="1"/>
  <c r="F179" i="122"/>
  <c r="F116" i="122"/>
  <c r="H18" i="122"/>
  <c r="N18" i="122" s="1"/>
  <c r="F196" i="122"/>
  <c r="H98" i="122"/>
  <c r="N98" i="122" s="1"/>
  <c r="G108" i="122"/>
  <c r="F198" i="122"/>
  <c r="F199" i="122"/>
  <c r="H101" i="122"/>
  <c r="N101" i="122" s="1"/>
  <c r="F136" i="122"/>
  <c r="H38" i="122"/>
  <c r="N38" i="122" s="1"/>
  <c r="F200" i="122"/>
  <c r="H102" i="122"/>
  <c r="N102" i="122" s="1"/>
  <c r="F160" i="122"/>
  <c r="H62" i="122"/>
  <c r="N62" i="122" s="1"/>
  <c r="H24" i="122"/>
  <c r="N24" i="122" s="1"/>
  <c r="F122" i="122"/>
  <c r="F186" i="122"/>
  <c r="H88" i="122"/>
  <c r="N88" i="122" s="1"/>
  <c r="H74" i="122"/>
  <c r="N74" i="122" s="1"/>
  <c r="F172" i="122"/>
  <c r="H76" i="122"/>
  <c r="N76" i="122" s="1"/>
  <c r="F174" i="122"/>
  <c r="H22" i="122"/>
  <c r="N22" i="122" s="1"/>
  <c r="F120" i="122"/>
  <c r="F150" i="122"/>
  <c r="H52" i="122"/>
  <c r="N52" i="122" s="1"/>
  <c r="H77" i="122"/>
  <c r="N77" i="122" s="1"/>
  <c r="F175" i="122"/>
  <c r="H40" i="122"/>
  <c r="N40" i="122" s="1"/>
  <c r="F138" i="122"/>
  <c r="H72" i="122"/>
  <c r="N72" i="122" s="1"/>
  <c r="F170" i="122"/>
  <c r="F115" i="122"/>
  <c r="H17" i="122"/>
  <c r="N17" i="122" s="1"/>
  <c r="H57" i="122"/>
  <c r="N57" i="122" s="1"/>
  <c r="F155" i="122"/>
  <c r="H89" i="122"/>
  <c r="N89" i="122" s="1"/>
  <c r="F187" i="122"/>
  <c r="F140" i="122"/>
  <c r="H42" i="122"/>
  <c r="N42" i="122" s="1"/>
  <c r="H20" i="122"/>
  <c r="N20" i="122" s="1"/>
  <c r="F118" i="122"/>
  <c r="H21" i="122"/>
  <c r="N21" i="122" s="1"/>
  <c r="F119" i="122"/>
  <c r="F132" i="122"/>
  <c r="H34" i="122"/>
  <c r="N34" i="122" s="1"/>
  <c r="O26" i="122"/>
  <c r="P26" i="122" s="1"/>
  <c r="G124" i="122"/>
  <c r="G222" i="122" s="1"/>
  <c r="G320" i="122" s="1"/>
  <c r="G418" i="122" s="1"/>
  <c r="G516" i="122" s="1"/>
  <c r="G614" i="122" s="1"/>
  <c r="F152" i="122"/>
  <c r="H54" i="122"/>
  <c r="N54" i="122" s="1"/>
  <c r="G328" i="122"/>
  <c r="G426" i="122" s="1"/>
  <c r="G524" i="122" s="1"/>
  <c r="G622" i="122" s="1"/>
  <c r="O230" i="122"/>
  <c r="P230" i="122" s="1"/>
  <c r="F112" i="122"/>
  <c r="H14" i="122"/>
  <c r="N14" i="122" s="1"/>
  <c r="H78" i="122"/>
  <c r="N78" i="122" s="1"/>
  <c r="F176" i="122"/>
  <c r="F154" i="122"/>
  <c r="H56" i="122"/>
  <c r="N56" i="122" s="1"/>
  <c r="H45" i="122"/>
  <c r="N45" i="122" s="1"/>
  <c r="F143" i="122"/>
  <c r="O131" i="122"/>
  <c r="P131" i="122" s="1"/>
  <c r="F137" i="122"/>
  <c r="H39" i="122"/>
  <c r="N39" i="122" s="1"/>
  <c r="F108" i="122"/>
  <c r="H10" i="122"/>
  <c r="F103" i="122"/>
  <c r="H50" i="122"/>
  <c r="N50" i="122" s="1"/>
  <c r="F148" i="122"/>
  <c r="G333" i="122"/>
  <c r="G431" i="122" s="1"/>
  <c r="G529" i="122" s="1"/>
  <c r="G627" i="122" s="1"/>
  <c r="O235" i="122"/>
  <c r="P235" i="122" s="1"/>
  <c r="H11" i="122"/>
  <c r="N11" i="122" s="1"/>
  <c r="F109" i="122"/>
  <c r="H43" i="122"/>
  <c r="N43" i="122" s="1"/>
  <c r="F141" i="122"/>
  <c r="H75" i="122"/>
  <c r="N75" i="122" s="1"/>
  <c r="F173" i="122"/>
  <c r="O232" i="122"/>
  <c r="P232" i="122" s="1"/>
  <c r="F113" i="122"/>
  <c r="H15" i="122"/>
  <c r="N15" i="122" s="1"/>
  <c r="H47" i="122"/>
  <c r="N47" i="122" s="1"/>
  <c r="F145" i="122"/>
  <c r="H79" i="122"/>
  <c r="N79" i="122" s="1"/>
  <c r="F177" i="122"/>
  <c r="O136" i="122"/>
  <c r="P136" i="122" s="1"/>
  <c r="G234" i="122"/>
  <c r="G332" i="122" s="1"/>
  <c r="G430" i="122" s="1"/>
  <c r="G528" i="122" s="1"/>
  <c r="G626" i="122" s="1"/>
  <c r="H90" i="122"/>
  <c r="N90" i="122" s="1"/>
  <c r="F188" i="122"/>
  <c r="F166" i="122"/>
  <c r="H68" i="122"/>
  <c r="N68" i="122" s="1"/>
  <c r="H13" i="122"/>
  <c r="N13" i="122" s="1"/>
  <c r="F111" i="122"/>
  <c r="H41" i="122"/>
  <c r="N41" i="122" s="1"/>
  <c r="H19" i="122"/>
  <c r="N19" i="122" s="1"/>
  <c r="F117" i="122"/>
  <c r="H51" i="122"/>
  <c r="N51" i="122" s="1"/>
  <c r="F149" i="122"/>
  <c r="H83" i="122"/>
  <c r="N83" i="122" s="1"/>
  <c r="F181" i="122"/>
  <c r="H44" i="122"/>
  <c r="N44" i="122" s="1"/>
  <c r="F142" i="122"/>
  <c r="F180" i="122"/>
  <c r="H82" i="122"/>
  <c r="N82" i="122" s="1"/>
  <c r="F144" i="122"/>
  <c r="H46" i="122"/>
  <c r="N46" i="122" s="1"/>
  <c r="G231" i="122"/>
  <c r="G329" i="122" s="1"/>
  <c r="G427" i="122" s="1"/>
  <c r="G525" i="122" s="1"/>
  <c r="G623" i="122" s="1"/>
  <c r="O133" i="122"/>
  <c r="P133" i="122" s="1"/>
  <c r="H71" i="122"/>
  <c r="N71" i="122" s="1"/>
  <c r="F169" i="122"/>
  <c r="G335" i="122"/>
  <c r="H237" i="122"/>
  <c r="N237" i="122" s="1"/>
  <c r="F114" i="122"/>
  <c r="H16" i="122"/>
  <c r="N16" i="122" s="1"/>
  <c r="F146" i="122"/>
  <c r="H48" i="122"/>
  <c r="N48" i="122" s="1"/>
  <c r="H80" i="122"/>
  <c r="N80" i="122" s="1"/>
  <c r="F178" i="122"/>
  <c r="F123" i="122"/>
  <c r="H25" i="122"/>
  <c r="N25" i="122" s="1"/>
  <c r="H65" i="122"/>
  <c r="N65" i="122" s="1"/>
  <c r="F163" i="122"/>
  <c r="H97" i="122"/>
  <c r="N97" i="122" s="1"/>
  <c r="F195" i="122"/>
  <c r="F156" i="122"/>
  <c r="H58" i="122"/>
  <c r="N58" i="122" s="1"/>
  <c r="H60" i="122"/>
  <c r="N60" i="122" s="1"/>
  <c r="F158" i="122"/>
  <c r="H53" i="122"/>
  <c r="N53" i="122" s="1"/>
  <c r="F151" i="122"/>
  <c r="F164" i="122"/>
  <c r="H66" i="122"/>
  <c r="N66" i="122" s="1"/>
  <c r="H36" i="122"/>
  <c r="N36" i="122" s="1"/>
  <c r="F134" i="122"/>
  <c r="F127" i="122"/>
  <c r="H29" i="122"/>
  <c r="N29" i="122" s="1"/>
  <c r="H70" i="122"/>
  <c r="N70" i="122" s="1"/>
  <c r="F168" i="122"/>
  <c r="F128" i="122"/>
  <c r="H30" i="122"/>
  <c r="N30" i="122" s="1"/>
  <c r="H94" i="122"/>
  <c r="N94" i="122" s="1"/>
  <c r="F192" i="122"/>
  <c r="F131" i="122"/>
  <c r="H33" i="122"/>
  <c r="N33" i="122" s="1"/>
  <c r="H73" i="122"/>
  <c r="N73" i="122" s="1"/>
  <c r="F171" i="122"/>
  <c r="H85" i="122"/>
  <c r="N85" i="122" s="1"/>
  <c r="F183" i="122"/>
  <c r="F121" i="122"/>
  <c r="H55" i="122"/>
  <c r="N55" i="122" s="1"/>
  <c r="F153" i="122"/>
  <c r="H87" i="122"/>
  <c r="N87" i="122" s="1"/>
  <c r="F185" i="122"/>
  <c r="F110" i="122"/>
  <c r="H12" i="122"/>
  <c r="N12" i="122" s="1"/>
  <c r="H92" i="122"/>
  <c r="N92" i="122" s="1"/>
  <c r="F190" i="122"/>
  <c r="F135" i="122"/>
  <c r="H37" i="122"/>
  <c r="N37" i="122" s="1"/>
  <c r="F125" i="122"/>
  <c r="H27" i="122"/>
  <c r="N27" i="122" s="1"/>
  <c r="H59" i="122"/>
  <c r="N59" i="122" s="1"/>
  <c r="F157" i="122"/>
  <c r="H91" i="122"/>
  <c r="N91" i="122" s="1"/>
  <c r="F189" i="122"/>
  <c r="H84" i="122"/>
  <c r="N84" i="122" s="1"/>
  <c r="F182" i="122"/>
  <c r="F531" i="122"/>
  <c r="K28" i="118" l="1"/>
  <c r="F29" i="118"/>
  <c r="F155" i="119"/>
  <c r="H102" i="119"/>
  <c r="N102" i="119" s="1"/>
  <c r="F154" i="119"/>
  <c r="H101" i="119"/>
  <c r="N101" i="119" s="1"/>
  <c r="F120" i="119"/>
  <c r="H67" i="119"/>
  <c r="N67" i="119" s="1"/>
  <c r="F153" i="119"/>
  <c r="H100" i="119"/>
  <c r="N100" i="119" s="1"/>
  <c r="F150" i="119"/>
  <c r="H97" i="119"/>
  <c r="N97" i="119" s="1"/>
  <c r="H88" i="119"/>
  <c r="F141" i="119"/>
  <c r="F144" i="119"/>
  <c r="H91" i="119"/>
  <c r="F137" i="119"/>
  <c r="H84" i="119"/>
  <c r="N84" i="119" s="1"/>
  <c r="F134" i="119"/>
  <c r="H81" i="119"/>
  <c r="N81" i="119" s="1"/>
  <c r="F124" i="119"/>
  <c r="H71" i="119"/>
  <c r="N71" i="119" s="1"/>
  <c r="F152" i="119"/>
  <c r="H99" i="119"/>
  <c r="N99" i="119" s="1"/>
  <c r="N10" i="119"/>
  <c r="N58" i="119" s="1"/>
  <c r="H58" i="119"/>
  <c r="H79" i="119"/>
  <c r="N79" i="119" s="1"/>
  <c r="F132" i="119"/>
  <c r="F143" i="119"/>
  <c r="H90" i="119"/>
  <c r="F117" i="119"/>
  <c r="H64" i="119"/>
  <c r="N64" i="119" s="1"/>
  <c r="F159" i="119"/>
  <c r="H106" i="119"/>
  <c r="N106" i="119" s="1"/>
  <c r="F138" i="119"/>
  <c r="H85" i="119"/>
  <c r="N85" i="119" s="1"/>
  <c r="F133" i="119"/>
  <c r="H80" i="119"/>
  <c r="N80" i="119" s="1"/>
  <c r="H65" i="119"/>
  <c r="N65" i="119" s="1"/>
  <c r="F118" i="119"/>
  <c r="F148" i="119"/>
  <c r="H95" i="119"/>
  <c r="N95" i="119" s="1"/>
  <c r="F119" i="119"/>
  <c r="H66" i="119"/>
  <c r="N66" i="119" s="1"/>
  <c r="F147" i="119"/>
  <c r="H94" i="119"/>
  <c r="N94" i="119" s="1"/>
  <c r="F125" i="119"/>
  <c r="H72" i="119"/>
  <c r="N72" i="119" s="1"/>
  <c r="F146" i="119"/>
  <c r="H93" i="119"/>
  <c r="N93" i="119" s="1"/>
  <c r="F140" i="119"/>
  <c r="H87" i="119"/>
  <c r="N87" i="119" s="1"/>
  <c r="H86" i="119"/>
  <c r="N86" i="119" s="1"/>
  <c r="F139" i="119"/>
  <c r="G237" i="119"/>
  <c r="G290" i="119" s="1"/>
  <c r="G343" i="119" s="1"/>
  <c r="G396" i="119" s="1"/>
  <c r="O184" i="119"/>
  <c r="P184" i="119" s="1"/>
  <c r="H82" i="119"/>
  <c r="N82" i="119" s="1"/>
  <c r="F135" i="119"/>
  <c r="F136" i="119"/>
  <c r="H83" i="119"/>
  <c r="N83" i="119" s="1"/>
  <c r="G134" i="119"/>
  <c r="G187" i="119" s="1"/>
  <c r="G240" i="119" s="1"/>
  <c r="G293" i="119" s="1"/>
  <c r="G346" i="119" s="1"/>
  <c r="G399" i="119" s="1"/>
  <c r="O81" i="119"/>
  <c r="P81" i="119" s="1"/>
  <c r="G111" i="119"/>
  <c r="G116" i="119"/>
  <c r="F131" i="119"/>
  <c r="H78" i="119"/>
  <c r="N78" i="119" s="1"/>
  <c r="F161" i="119"/>
  <c r="H108" i="119"/>
  <c r="N108" i="119" s="1"/>
  <c r="F145" i="119"/>
  <c r="H92" i="119"/>
  <c r="H69" i="119"/>
  <c r="N69" i="119" s="1"/>
  <c r="F122" i="119"/>
  <c r="F160" i="119"/>
  <c r="H107" i="119"/>
  <c r="N107" i="119" s="1"/>
  <c r="F163" i="119"/>
  <c r="H110" i="119"/>
  <c r="N110" i="119" s="1"/>
  <c r="H73" i="119"/>
  <c r="N73" i="119" s="1"/>
  <c r="F126" i="119"/>
  <c r="F162" i="119"/>
  <c r="H109" i="119"/>
  <c r="N109" i="119" s="1"/>
  <c r="F129" i="119"/>
  <c r="H76" i="119"/>
  <c r="N76" i="119" s="1"/>
  <c r="H77" i="119"/>
  <c r="N77" i="119" s="1"/>
  <c r="F130" i="119"/>
  <c r="F158" i="119"/>
  <c r="H105" i="119"/>
  <c r="N105" i="119" s="1"/>
  <c r="F149" i="119"/>
  <c r="H96" i="119"/>
  <c r="N96" i="119" s="1"/>
  <c r="F116" i="119"/>
  <c r="F111" i="119"/>
  <c r="H63" i="119"/>
  <c r="F128" i="119"/>
  <c r="H75" i="119"/>
  <c r="N75" i="119" s="1"/>
  <c r="F142" i="119"/>
  <c r="H89" i="119"/>
  <c r="H98" i="119"/>
  <c r="N98" i="119" s="1"/>
  <c r="F151" i="119"/>
  <c r="F157" i="119"/>
  <c r="H104" i="119"/>
  <c r="N104" i="119" s="1"/>
  <c r="F121" i="119"/>
  <c r="H68" i="119"/>
  <c r="N68" i="119" s="1"/>
  <c r="G188" i="119"/>
  <c r="G241" i="119" s="1"/>
  <c r="G294" i="119" s="1"/>
  <c r="G347" i="119" s="1"/>
  <c r="G400" i="119" s="1"/>
  <c r="O135" i="119"/>
  <c r="P135" i="119" s="1"/>
  <c r="F156" i="119"/>
  <c r="H103" i="119"/>
  <c r="N103" i="119" s="1"/>
  <c r="F127" i="119"/>
  <c r="H74" i="119"/>
  <c r="N74" i="119" s="1"/>
  <c r="F123" i="119"/>
  <c r="H70" i="119"/>
  <c r="N70" i="119" s="1"/>
  <c r="G235" i="119"/>
  <c r="G231" i="119"/>
  <c r="G266" i="119"/>
  <c r="G260" i="119"/>
  <c r="G258" i="119"/>
  <c r="F269" i="122"/>
  <c r="H171" i="122"/>
  <c r="N171" i="122" s="1"/>
  <c r="F266" i="122"/>
  <c r="H168" i="122"/>
  <c r="N168" i="122" s="1"/>
  <c r="F249" i="122"/>
  <c r="H151" i="122"/>
  <c r="N151" i="122" s="1"/>
  <c r="H163" i="122"/>
  <c r="N163" i="122" s="1"/>
  <c r="F261" i="122"/>
  <c r="F243" i="122"/>
  <c r="H145" i="122"/>
  <c r="N145" i="122" s="1"/>
  <c r="F210" i="122"/>
  <c r="H112" i="122"/>
  <c r="N112" i="122" s="1"/>
  <c r="F230" i="122"/>
  <c r="H132" i="122"/>
  <c r="N132" i="122" s="1"/>
  <c r="H125" i="122"/>
  <c r="N125" i="122" s="1"/>
  <c r="F223" i="122"/>
  <c r="H182" i="122"/>
  <c r="N182" i="122" s="1"/>
  <c r="F280" i="122"/>
  <c r="F251" i="122"/>
  <c r="H153" i="122"/>
  <c r="N153" i="122" s="1"/>
  <c r="F212" i="122"/>
  <c r="H114" i="122"/>
  <c r="N114" i="122" s="1"/>
  <c r="H149" i="122"/>
  <c r="N149" i="122" s="1"/>
  <c r="F247" i="122"/>
  <c r="H166" i="122"/>
  <c r="N166" i="122" s="1"/>
  <c r="F264" i="122"/>
  <c r="H173" i="122"/>
  <c r="N173" i="122" s="1"/>
  <c r="F271" i="122"/>
  <c r="F246" i="122"/>
  <c r="H148" i="122"/>
  <c r="N148" i="122" s="1"/>
  <c r="F241" i="122"/>
  <c r="H143" i="122"/>
  <c r="N143" i="122" s="1"/>
  <c r="H119" i="122"/>
  <c r="N119" i="122" s="1"/>
  <c r="F217" i="122"/>
  <c r="F253" i="122"/>
  <c r="H155" i="122"/>
  <c r="N155" i="122" s="1"/>
  <c r="H120" i="122"/>
  <c r="N120" i="122" s="1"/>
  <c r="F218" i="122"/>
  <c r="F220" i="122"/>
  <c r="H122" i="122"/>
  <c r="N122" i="122" s="1"/>
  <c r="H135" i="122"/>
  <c r="N135" i="122" s="1"/>
  <c r="F233" i="122"/>
  <c r="F256" i="122"/>
  <c r="H158" i="122"/>
  <c r="N158" i="122" s="1"/>
  <c r="H144" i="122"/>
  <c r="N144" i="122" s="1"/>
  <c r="F242" i="122"/>
  <c r="H188" i="122"/>
  <c r="N188" i="122" s="1"/>
  <c r="F286" i="122"/>
  <c r="H199" i="122"/>
  <c r="N199" i="122" s="1"/>
  <c r="F297" i="122"/>
  <c r="F214" i="122"/>
  <c r="H116" i="122"/>
  <c r="N116" i="122" s="1"/>
  <c r="H194" i="122"/>
  <c r="N194" i="122" s="1"/>
  <c r="F292" i="122"/>
  <c r="F231" i="122"/>
  <c r="H133" i="122"/>
  <c r="N133" i="122" s="1"/>
  <c r="F227" i="122"/>
  <c r="H129" i="122"/>
  <c r="N129" i="122" s="1"/>
  <c r="F287" i="122"/>
  <c r="H189" i="122"/>
  <c r="N189" i="122" s="1"/>
  <c r="F288" i="122"/>
  <c r="H190" i="122"/>
  <c r="N190" i="122" s="1"/>
  <c r="F229" i="122"/>
  <c r="H131" i="122"/>
  <c r="N131" i="122" s="1"/>
  <c r="F225" i="122"/>
  <c r="H127" i="122"/>
  <c r="N127" i="122" s="1"/>
  <c r="F221" i="122"/>
  <c r="H123" i="122"/>
  <c r="N123" i="122" s="1"/>
  <c r="F215" i="122"/>
  <c r="H117" i="122"/>
  <c r="N117" i="122" s="1"/>
  <c r="H113" i="122"/>
  <c r="N113" i="122" s="1"/>
  <c r="F211" i="122"/>
  <c r="H141" i="122"/>
  <c r="N141" i="122" s="1"/>
  <c r="F239" i="122"/>
  <c r="H118" i="122"/>
  <c r="N118" i="122" s="1"/>
  <c r="F216" i="122"/>
  <c r="H175" i="122"/>
  <c r="N175" i="122" s="1"/>
  <c r="F273" i="122"/>
  <c r="F272" i="122"/>
  <c r="H174" i="122"/>
  <c r="N174" i="122" s="1"/>
  <c r="F277" i="122"/>
  <c r="H179" i="122"/>
  <c r="N179" i="122" s="1"/>
  <c r="F260" i="122"/>
  <c r="H162" i="122"/>
  <c r="N162" i="122" s="1"/>
  <c r="F219" i="122"/>
  <c r="G433" i="122"/>
  <c r="H335" i="122"/>
  <c r="N335" i="122" s="1"/>
  <c r="N10" i="122"/>
  <c r="F252" i="122"/>
  <c r="H154" i="122"/>
  <c r="N154" i="122" s="1"/>
  <c r="F213" i="122"/>
  <c r="H115" i="122"/>
  <c r="N115" i="122" s="1"/>
  <c r="F258" i="122"/>
  <c r="H160" i="122"/>
  <c r="N160" i="122" s="1"/>
  <c r="F296" i="122"/>
  <c r="F255" i="122"/>
  <c r="H157" i="122"/>
  <c r="N157" i="122" s="1"/>
  <c r="F254" i="122"/>
  <c r="H156" i="122"/>
  <c r="N156" i="122" s="1"/>
  <c r="H169" i="122"/>
  <c r="N169" i="122" s="1"/>
  <c r="F267" i="122"/>
  <c r="H142" i="122"/>
  <c r="N142" i="122" s="1"/>
  <c r="F240" i="122"/>
  <c r="F207" i="122"/>
  <c r="H109" i="122"/>
  <c r="N109" i="122" s="1"/>
  <c r="F206" i="122"/>
  <c r="F201" i="122"/>
  <c r="H176" i="122"/>
  <c r="N176" i="122" s="1"/>
  <c r="F274" i="122"/>
  <c r="H170" i="122"/>
  <c r="N170" i="122" s="1"/>
  <c r="F268" i="122"/>
  <c r="H172" i="122"/>
  <c r="N172" i="122" s="1"/>
  <c r="F270" i="122"/>
  <c r="F245" i="122"/>
  <c r="H147" i="122"/>
  <c r="N147" i="122" s="1"/>
  <c r="H130" i="122"/>
  <c r="N130" i="122" s="1"/>
  <c r="F228" i="122"/>
  <c r="H124" i="122"/>
  <c r="N124" i="122" s="1"/>
  <c r="F222" i="122"/>
  <c r="H110" i="122"/>
  <c r="N110" i="122" s="1"/>
  <c r="F208" i="122"/>
  <c r="F281" i="122"/>
  <c r="H183" i="122"/>
  <c r="N183" i="122" s="1"/>
  <c r="H195" i="122"/>
  <c r="N195" i="122" s="1"/>
  <c r="F293" i="122"/>
  <c r="F209" i="122"/>
  <c r="H111" i="122"/>
  <c r="N111" i="122" s="1"/>
  <c r="H177" i="122"/>
  <c r="N177" i="122" s="1"/>
  <c r="F275" i="122"/>
  <c r="F238" i="122"/>
  <c r="H140" i="122"/>
  <c r="N140" i="122" s="1"/>
  <c r="F248" i="122"/>
  <c r="H150" i="122"/>
  <c r="N150" i="122" s="1"/>
  <c r="H200" i="122"/>
  <c r="N200" i="122" s="1"/>
  <c r="F298" i="122"/>
  <c r="H108" i="122"/>
  <c r="G206" i="122"/>
  <c r="F295" i="122"/>
  <c r="H197" i="122"/>
  <c r="N197" i="122" s="1"/>
  <c r="H159" i="122"/>
  <c r="N159" i="122" s="1"/>
  <c r="F257" i="122"/>
  <c r="H193" i="122"/>
  <c r="N193" i="122" s="1"/>
  <c r="F291" i="122"/>
  <c r="F282" i="122"/>
  <c r="H184" i="122"/>
  <c r="N184" i="122" s="1"/>
  <c r="H192" i="122"/>
  <c r="N192" i="122" s="1"/>
  <c r="F290" i="122"/>
  <c r="F232" i="122"/>
  <c r="H134" i="122"/>
  <c r="N134" i="122" s="1"/>
  <c r="F276" i="122"/>
  <c r="H178" i="122"/>
  <c r="N178" i="122" s="1"/>
  <c r="F278" i="122"/>
  <c r="H180" i="122"/>
  <c r="N180" i="122" s="1"/>
  <c r="F250" i="122"/>
  <c r="H152" i="122"/>
  <c r="N152" i="122" s="1"/>
  <c r="F283" i="122"/>
  <c r="H185" i="122"/>
  <c r="N185" i="122" s="1"/>
  <c r="F226" i="122"/>
  <c r="H128" i="122"/>
  <c r="N128" i="122" s="1"/>
  <c r="H164" i="122"/>
  <c r="N164" i="122" s="1"/>
  <c r="F262" i="122"/>
  <c r="F244" i="122"/>
  <c r="H146" i="122"/>
  <c r="N146" i="122" s="1"/>
  <c r="F279" i="122"/>
  <c r="H181" i="122"/>
  <c r="N181" i="122" s="1"/>
  <c r="H137" i="122"/>
  <c r="N137" i="122" s="1"/>
  <c r="F235" i="122"/>
  <c r="F285" i="122"/>
  <c r="H187" i="122"/>
  <c r="N187" i="122" s="1"/>
  <c r="F236" i="122"/>
  <c r="H138" i="122"/>
  <c r="N138" i="122" s="1"/>
  <c r="F289" i="122"/>
  <c r="H191" i="122"/>
  <c r="N191" i="122" s="1"/>
  <c r="F265" i="122"/>
  <c r="H167" i="122"/>
  <c r="N167" i="122" s="1"/>
  <c r="H186" i="122"/>
  <c r="N186" i="122" s="1"/>
  <c r="F284" i="122"/>
  <c r="F234" i="122"/>
  <c r="H136" i="122"/>
  <c r="N136" i="122" s="1"/>
  <c r="H196" i="122"/>
  <c r="N196" i="122" s="1"/>
  <c r="F294" i="122"/>
  <c r="H165" i="122"/>
  <c r="N165" i="122" s="1"/>
  <c r="F263" i="122"/>
  <c r="F224" i="122"/>
  <c r="H126" i="122"/>
  <c r="N126" i="122" s="1"/>
  <c r="F259" i="122"/>
  <c r="H161" i="122"/>
  <c r="N161" i="122" s="1"/>
  <c r="F629" i="122"/>
  <c r="K29" i="118" l="1"/>
  <c r="F30" i="118"/>
  <c r="K30" i="118" s="1"/>
  <c r="H135" i="119"/>
  <c r="N135" i="119" s="1"/>
  <c r="F188" i="119"/>
  <c r="F182" i="119"/>
  <c r="H129" i="119"/>
  <c r="N129" i="119" s="1"/>
  <c r="H131" i="119"/>
  <c r="N131" i="119" s="1"/>
  <c r="F184" i="119"/>
  <c r="F199" i="119"/>
  <c r="H146" i="119"/>
  <c r="N146" i="119" s="1"/>
  <c r="F190" i="119"/>
  <c r="H137" i="119"/>
  <c r="N137" i="119" s="1"/>
  <c r="F209" i="119"/>
  <c r="H156" i="119"/>
  <c r="N156" i="119" s="1"/>
  <c r="G169" i="119"/>
  <c r="F171" i="119"/>
  <c r="H118" i="119"/>
  <c r="N118" i="119" s="1"/>
  <c r="F202" i="119"/>
  <c r="H149" i="119"/>
  <c r="N149" i="119" s="1"/>
  <c r="F215" i="119"/>
  <c r="H162" i="119"/>
  <c r="N162" i="119" s="1"/>
  <c r="F178" i="119"/>
  <c r="H125" i="119"/>
  <c r="N125" i="119" s="1"/>
  <c r="F170" i="119"/>
  <c r="H117" i="119"/>
  <c r="N117" i="119" s="1"/>
  <c r="F205" i="119"/>
  <c r="H152" i="119"/>
  <c r="N152" i="119" s="1"/>
  <c r="F197" i="119"/>
  <c r="H120" i="119"/>
  <c r="N120" i="119" s="1"/>
  <c r="F173" i="119"/>
  <c r="F201" i="119"/>
  <c r="H148" i="119"/>
  <c r="N148" i="119" s="1"/>
  <c r="F179" i="119"/>
  <c r="H126" i="119"/>
  <c r="N126" i="119" s="1"/>
  <c r="H139" i="119"/>
  <c r="N139" i="119" s="1"/>
  <c r="F192" i="119"/>
  <c r="F194" i="119"/>
  <c r="F210" i="119"/>
  <c r="H157" i="119"/>
  <c r="N157" i="119" s="1"/>
  <c r="F204" i="119"/>
  <c r="H151" i="119"/>
  <c r="N151" i="119" s="1"/>
  <c r="F213" i="119"/>
  <c r="H160" i="119"/>
  <c r="N160" i="119" s="1"/>
  <c r="F212" i="119"/>
  <c r="H159" i="119"/>
  <c r="N159" i="119" s="1"/>
  <c r="F211" i="119"/>
  <c r="H158" i="119"/>
  <c r="N158" i="119" s="1"/>
  <c r="F198" i="119"/>
  <c r="F200" i="119"/>
  <c r="H147" i="119"/>
  <c r="N147" i="119" s="1"/>
  <c r="F186" i="119"/>
  <c r="H133" i="119"/>
  <c r="N133" i="119" s="1"/>
  <c r="F196" i="119"/>
  <c r="F177" i="119"/>
  <c r="H124" i="119"/>
  <c r="N124" i="119" s="1"/>
  <c r="F207" i="119"/>
  <c r="H154" i="119"/>
  <c r="N154" i="119" s="1"/>
  <c r="F175" i="119"/>
  <c r="H122" i="119"/>
  <c r="N122" i="119" s="1"/>
  <c r="F195" i="119"/>
  <c r="H123" i="119"/>
  <c r="N123" i="119" s="1"/>
  <c r="F176" i="119"/>
  <c r="F174" i="119"/>
  <c r="H121" i="119"/>
  <c r="N121" i="119" s="1"/>
  <c r="F181" i="119"/>
  <c r="H128" i="119"/>
  <c r="N128" i="119" s="1"/>
  <c r="F183" i="119"/>
  <c r="H130" i="119"/>
  <c r="N130" i="119" s="1"/>
  <c r="H132" i="119"/>
  <c r="N132" i="119" s="1"/>
  <c r="F185" i="119"/>
  <c r="H127" i="119"/>
  <c r="N127" i="119" s="1"/>
  <c r="F180" i="119"/>
  <c r="F169" i="119"/>
  <c r="H116" i="119"/>
  <c r="F164" i="119"/>
  <c r="F206" i="119"/>
  <c r="H153" i="119"/>
  <c r="N153" i="119" s="1"/>
  <c r="N63" i="119"/>
  <c r="H111" i="119"/>
  <c r="H163" i="119"/>
  <c r="N163" i="119" s="1"/>
  <c r="F216" i="119"/>
  <c r="F214" i="119"/>
  <c r="H161" i="119"/>
  <c r="N161" i="119" s="1"/>
  <c r="H136" i="119"/>
  <c r="N136" i="119" s="1"/>
  <c r="F189" i="119"/>
  <c r="F193" i="119"/>
  <c r="H140" i="119"/>
  <c r="N140" i="119" s="1"/>
  <c r="F172" i="119"/>
  <c r="H119" i="119"/>
  <c r="N119" i="119" s="1"/>
  <c r="F191" i="119"/>
  <c r="H138" i="119"/>
  <c r="N138" i="119" s="1"/>
  <c r="F187" i="119"/>
  <c r="H134" i="119"/>
  <c r="N134" i="119" s="1"/>
  <c r="H150" i="119"/>
  <c r="N150" i="119" s="1"/>
  <c r="F203" i="119"/>
  <c r="F208" i="119"/>
  <c r="H155" i="119"/>
  <c r="N155" i="119" s="1"/>
  <c r="G288" i="119"/>
  <c r="G313" i="119"/>
  <c r="G311" i="119"/>
  <c r="G319" i="119"/>
  <c r="G284" i="119"/>
  <c r="H229" i="122"/>
  <c r="N229" i="122" s="1"/>
  <c r="F327" i="122"/>
  <c r="F345" i="122"/>
  <c r="H247" i="122"/>
  <c r="N247" i="122" s="1"/>
  <c r="F380" i="122"/>
  <c r="H282" i="122"/>
  <c r="N282" i="122" s="1"/>
  <c r="H254" i="122"/>
  <c r="N254" i="122" s="1"/>
  <c r="F352" i="122"/>
  <c r="F386" i="122"/>
  <c r="H288" i="122"/>
  <c r="N288" i="122" s="1"/>
  <c r="H235" i="122"/>
  <c r="N235" i="122" s="1"/>
  <c r="F333" i="122"/>
  <c r="F347" i="122"/>
  <c r="H249" i="122"/>
  <c r="N249" i="122" s="1"/>
  <c r="H265" i="122"/>
  <c r="N265" i="122" s="1"/>
  <c r="F363" i="122"/>
  <c r="F324" i="122"/>
  <c r="H226" i="122"/>
  <c r="N226" i="122" s="1"/>
  <c r="F374" i="122"/>
  <c r="H276" i="122"/>
  <c r="N276" i="122" s="1"/>
  <c r="F396" i="122"/>
  <c r="H298" i="122"/>
  <c r="N298" i="122" s="1"/>
  <c r="H207" i="122"/>
  <c r="N207" i="122" s="1"/>
  <c r="F305" i="122"/>
  <c r="H255" i="122"/>
  <c r="N255" i="122" s="1"/>
  <c r="F353" i="122"/>
  <c r="F350" i="122"/>
  <c r="H252" i="122"/>
  <c r="N252" i="122" s="1"/>
  <c r="H260" i="122"/>
  <c r="N260" i="122" s="1"/>
  <c r="F358" i="122"/>
  <c r="F319" i="122"/>
  <c r="H221" i="122"/>
  <c r="N221" i="122" s="1"/>
  <c r="F385" i="122"/>
  <c r="H287" i="122"/>
  <c r="N287" i="122" s="1"/>
  <c r="F369" i="122"/>
  <c r="H271" i="122"/>
  <c r="N271" i="122" s="1"/>
  <c r="H236" i="122"/>
  <c r="N236" i="122" s="1"/>
  <c r="F334" i="122"/>
  <c r="F321" i="122"/>
  <c r="H223" i="122"/>
  <c r="N223" i="122" s="1"/>
  <c r="H238" i="122"/>
  <c r="N238" i="122" s="1"/>
  <c r="F336" i="122"/>
  <c r="H273" i="122"/>
  <c r="N273" i="122" s="1"/>
  <c r="F371" i="122"/>
  <c r="H231" i="122"/>
  <c r="N231" i="122" s="1"/>
  <c r="F329" i="122"/>
  <c r="H241" i="122"/>
  <c r="N241" i="122" s="1"/>
  <c r="F339" i="122"/>
  <c r="F376" i="122"/>
  <c r="H278" i="122"/>
  <c r="N278" i="122" s="1"/>
  <c r="F373" i="122"/>
  <c r="H275" i="122"/>
  <c r="N275" i="122" s="1"/>
  <c r="F317" i="122"/>
  <c r="F389" i="122"/>
  <c r="H291" i="122"/>
  <c r="N291" i="122" s="1"/>
  <c r="F368" i="122"/>
  <c r="H270" i="122"/>
  <c r="N270" i="122" s="1"/>
  <c r="F328" i="122"/>
  <c r="H230" i="122"/>
  <c r="N230" i="122" s="1"/>
  <c r="H294" i="122"/>
  <c r="N294" i="122" s="1"/>
  <c r="F392" i="122"/>
  <c r="F355" i="122"/>
  <c r="H257" i="122"/>
  <c r="N257" i="122" s="1"/>
  <c r="H209" i="122"/>
  <c r="N209" i="122" s="1"/>
  <c r="F307" i="122"/>
  <c r="F320" i="122"/>
  <c r="H222" i="122"/>
  <c r="N222" i="122" s="1"/>
  <c r="F366" i="122"/>
  <c r="H268" i="122"/>
  <c r="N268" i="122" s="1"/>
  <c r="H240" i="122"/>
  <c r="N240" i="122" s="1"/>
  <c r="F338" i="122"/>
  <c r="H239" i="122"/>
  <c r="N239" i="122" s="1"/>
  <c r="F337" i="122"/>
  <c r="F312" i="122"/>
  <c r="H214" i="122"/>
  <c r="N214" i="122" s="1"/>
  <c r="F354" i="122"/>
  <c r="H256" i="122"/>
  <c r="N256" i="122" s="1"/>
  <c r="F351" i="122"/>
  <c r="H253" i="122"/>
  <c r="N253" i="122" s="1"/>
  <c r="F349" i="122"/>
  <c r="H251" i="122"/>
  <c r="N251" i="122" s="1"/>
  <c r="F308" i="122"/>
  <c r="H210" i="122"/>
  <c r="N210" i="122" s="1"/>
  <c r="F364" i="122"/>
  <c r="H266" i="122"/>
  <c r="N266" i="122" s="1"/>
  <c r="F348" i="122"/>
  <c r="H250" i="122"/>
  <c r="N250" i="122" s="1"/>
  <c r="G531" i="122"/>
  <c r="H433" i="122"/>
  <c r="N433" i="122" s="1"/>
  <c r="H262" i="122"/>
  <c r="N262" i="122" s="1"/>
  <c r="F360" i="122"/>
  <c r="G304" i="122"/>
  <c r="F379" i="122"/>
  <c r="H281" i="122"/>
  <c r="N281" i="122" s="1"/>
  <c r="F383" i="122"/>
  <c r="H285" i="122"/>
  <c r="N285" i="122" s="1"/>
  <c r="H208" i="122"/>
  <c r="N208" i="122" s="1"/>
  <c r="F306" i="122"/>
  <c r="F340" i="122"/>
  <c r="H242" i="122"/>
  <c r="N242" i="122" s="1"/>
  <c r="H216" i="122"/>
  <c r="N216" i="122" s="1"/>
  <c r="F314" i="122"/>
  <c r="F344" i="122"/>
  <c r="H246" i="122"/>
  <c r="N246" i="122" s="1"/>
  <c r="H289" i="122"/>
  <c r="N289" i="122" s="1"/>
  <c r="F387" i="122"/>
  <c r="F377" i="122"/>
  <c r="H279" i="122"/>
  <c r="N279" i="122" s="1"/>
  <c r="F381" i="122"/>
  <c r="H283" i="122"/>
  <c r="N283" i="122" s="1"/>
  <c r="H232" i="122"/>
  <c r="N232" i="122" s="1"/>
  <c r="F330" i="122"/>
  <c r="H293" i="122"/>
  <c r="N293" i="122" s="1"/>
  <c r="F391" i="122"/>
  <c r="F394" i="122"/>
  <c r="F375" i="122"/>
  <c r="H277" i="122"/>
  <c r="N277" i="122" s="1"/>
  <c r="F323" i="122"/>
  <c r="H225" i="122"/>
  <c r="N225" i="122" s="1"/>
  <c r="F395" i="122"/>
  <c r="H297" i="122"/>
  <c r="N297" i="122" s="1"/>
  <c r="F331" i="122"/>
  <c r="H233" i="122"/>
  <c r="N233" i="122" s="1"/>
  <c r="H217" i="122"/>
  <c r="N217" i="122" s="1"/>
  <c r="F315" i="122"/>
  <c r="F362" i="122"/>
  <c r="H264" i="122"/>
  <c r="N264" i="122" s="1"/>
  <c r="H280" i="122"/>
  <c r="N280" i="122" s="1"/>
  <c r="F378" i="122"/>
  <c r="F357" i="122"/>
  <c r="H259" i="122"/>
  <c r="N259" i="122" s="1"/>
  <c r="F332" i="122"/>
  <c r="H234" i="122"/>
  <c r="N234" i="122" s="1"/>
  <c r="F342" i="122"/>
  <c r="H244" i="122"/>
  <c r="N244" i="122" s="1"/>
  <c r="F393" i="122"/>
  <c r="H295" i="122"/>
  <c r="N295" i="122" s="1"/>
  <c r="F356" i="122"/>
  <c r="H258" i="122"/>
  <c r="N258" i="122" s="1"/>
  <c r="F370" i="122"/>
  <c r="H272" i="122"/>
  <c r="N272" i="122" s="1"/>
  <c r="F384" i="122"/>
  <c r="H286" i="122"/>
  <c r="N286" i="122" s="1"/>
  <c r="H261" i="122"/>
  <c r="N261" i="122" s="1"/>
  <c r="F359" i="122"/>
  <c r="H284" i="122"/>
  <c r="N284" i="122" s="1"/>
  <c r="F382" i="122"/>
  <c r="F318" i="122"/>
  <c r="H220" i="122"/>
  <c r="N220" i="122" s="1"/>
  <c r="H224" i="122"/>
  <c r="N224" i="122" s="1"/>
  <c r="F322" i="122"/>
  <c r="H245" i="122"/>
  <c r="N245" i="122" s="1"/>
  <c r="F343" i="122"/>
  <c r="F304" i="122"/>
  <c r="H206" i="122"/>
  <c r="F299" i="122"/>
  <c r="F311" i="122"/>
  <c r="H213" i="122"/>
  <c r="N213" i="122" s="1"/>
  <c r="H215" i="122"/>
  <c r="N215" i="122" s="1"/>
  <c r="F313" i="122"/>
  <c r="H292" i="122"/>
  <c r="N292" i="122" s="1"/>
  <c r="F390" i="122"/>
  <c r="F316" i="122"/>
  <c r="H218" i="122"/>
  <c r="N218" i="122" s="1"/>
  <c r="H263" i="122"/>
  <c r="N263" i="122" s="1"/>
  <c r="F361" i="122"/>
  <c r="N108" i="122"/>
  <c r="F310" i="122"/>
  <c r="H212" i="122"/>
  <c r="N212" i="122" s="1"/>
  <c r="F388" i="122"/>
  <c r="H290" i="122"/>
  <c r="N290" i="122" s="1"/>
  <c r="F346" i="122"/>
  <c r="H248" i="122"/>
  <c r="N248" i="122" s="1"/>
  <c r="F326" i="122"/>
  <c r="H228" i="122"/>
  <c r="N228" i="122" s="1"/>
  <c r="H274" i="122"/>
  <c r="N274" i="122" s="1"/>
  <c r="F372" i="122"/>
  <c r="F365" i="122"/>
  <c r="H267" i="122"/>
  <c r="N267" i="122" s="1"/>
  <c r="F309" i="122"/>
  <c r="H211" i="122"/>
  <c r="N211" i="122" s="1"/>
  <c r="H227" i="122"/>
  <c r="N227" i="122" s="1"/>
  <c r="F325" i="122"/>
  <c r="F341" i="122"/>
  <c r="H243" i="122"/>
  <c r="N243" i="122" s="1"/>
  <c r="F367" i="122"/>
  <c r="H269" i="122"/>
  <c r="N269" i="122" s="1"/>
  <c r="F260" i="119" l="1"/>
  <c r="H207" i="119"/>
  <c r="N207" i="119" s="1"/>
  <c r="H193" i="119"/>
  <c r="N193" i="119" s="1"/>
  <c r="F246" i="119"/>
  <c r="F240" i="119"/>
  <c r="H187" i="119"/>
  <c r="N187" i="119" s="1"/>
  <c r="H206" i="119"/>
  <c r="N206" i="119" s="1"/>
  <c r="F259" i="119"/>
  <c r="F230" i="119"/>
  <c r="H177" i="119"/>
  <c r="N177" i="119" s="1"/>
  <c r="F251" i="119"/>
  <c r="H204" i="119"/>
  <c r="N204" i="119" s="1"/>
  <c r="F257" i="119"/>
  <c r="F250" i="119"/>
  <c r="H215" i="119"/>
  <c r="N215" i="119" s="1"/>
  <c r="F268" i="119"/>
  <c r="G222" i="119"/>
  <c r="F238" i="119"/>
  <c r="H185" i="119"/>
  <c r="N185" i="119" s="1"/>
  <c r="F231" i="119"/>
  <c r="H178" i="119"/>
  <c r="N178" i="119" s="1"/>
  <c r="F242" i="119"/>
  <c r="H189" i="119"/>
  <c r="N189" i="119" s="1"/>
  <c r="H183" i="119"/>
  <c r="N183" i="119" s="1"/>
  <c r="F236" i="119"/>
  <c r="F248" i="119"/>
  <c r="H203" i="119"/>
  <c r="N203" i="119" s="1"/>
  <c r="F256" i="119"/>
  <c r="F227" i="119"/>
  <c r="H174" i="119"/>
  <c r="N174" i="119" s="1"/>
  <c r="F253" i="119"/>
  <c r="H200" i="119"/>
  <c r="N200" i="119" s="1"/>
  <c r="F266" i="119"/>
  <c r="H213" i="119"/>
  <c r="N213" i="119" s="1"/>
  <c r="F252" i="119"/>
  <c r="H199" i="119"/>
  <c r="N199" i="119" s="1"/>
  <c r="F244" i="119"/>
  <c r="H191" i="119"/>
  <c r="N191" i="119" s="1"/>
  <c r="F267" i="119"/>
  <c r="H214" i="119"/>
  <c r="N214" i="119" s="1"/>
  <c r="N116" i="119"/>
  <c r="F249" i="119"/>
  <c r="H211" i="119"/>
  <c r="N211" i="119" s="1"/>
  <c r="F264" i="119"/>
  <c r="H210" i="119"/>
  <c r="N210" i="119" s="1"/>
  <c r="F263" i="119"/>
  <c r="H179" i="119"/>
  <c r="N179" i="119" s="1"/>
  <c r="F232" i="119"/>
  <c r="F258" i="119"/>
  <c r="H205" i="119"/>
  <c r="N205" i="119" s="1"/>
  <c r="F255" i="119"/>
  <c r="H202" i="119"/>
  <c r="N202" i="119" s="1"/>
  <c r="H209" i="119"/>
  <c r="N209" i="119" s="1"/>
  <c r="F262" i="119"/>
  <c r="F235" i="119"/>
  <c r="H182" i="119"/>
  <c r="N182" i="119" s="1"/>
  <c r="H173" i="119"/>
  <c r="N173" i="119" s="1"/>
  <c r="F226" i="119"/>
  <c r="H171" i="119"/>
  <c r="N171" i="119" s="1"/>
  <c r="F224" i="119"/>
  <c r="F269" i="119"/>
  <c r="H216" i="119"/>
  <c r="N216" i="119" s="1"/>
  <c r="F222" i="119"/>
  <c r="F217" i="119"/>
  <c r="H169" i="119"/>
  <c r="H181" i="119"/>
  <c r="N181" i="119" s="1"/>
  <c r="F234" i="119"/>
  <c r="H175" i="119"/>
  <c r="N175" i="119" s="1"/>
  <c r="F228" i="119"/>
  <c r="F247" i="119"/>
  <c r="F241" i="119"/>
  <c r="H188" i="119"/>
  <c r="N188" i="119" s="1"/>
  <c r="H176" i="119"/>
  <c r="N176" i="119" s="1"/>
  <c r="F229" i="119"/>
  <c r="F245" i="119"/>
  <c r="H192" i="119"/>
  <c r="N192" i="119" s="1"/>
  <c r="F237" i="119"/>
  <c r="H184" i="119"/>
  <c r="N184" i="119" s="1"/>
  <c r="H208" i="119"/>
  <c r="N208" i="119" s="1"/>
  <c r="F261" i="119"/>
  <c r="F225" i="119"/>
  <c r="H172" i="119"/>
  <c r="N172" i="119" s="1"/>
  <c r="H180" i="119"/>
  <c r="N180" i="119" s="1"/>
  <c r="F233" i="119"/>
  <c r="H186" i="119"/>
  <c r="N186" i="119" s="1"/>
  <c r="F239" i="119"/>
  <c r="F265" i="119"/>
  <c r="H212" i="119"/>
  <c r="N212" i="119" s="1"/>
  <c r="F254" i="119"/>
  <c r="H201" i="119"/>
  <c r="N201" i="119" s="1"/>
  <c r="F223" i="119"/>
  <c r="H170" i="119"/>
  <c r="N170" i="119" s="1"/>
  <c r="F243" i="119"/>
  <c r="H190" i="119"/>
  <c r="N190" i="119" s="1"/>
  <c r="G364" i="119"/>
  <c r="G341" i="119"/>
  <c r="G337" i="119"/>
  <c r="G372" i="119"/>
  <c r="G366" i="119"/>
  <c r="F465" i="122"/>
  <c r="H367" i="122"/>
  <c r="N367" i="122" s="1"/>
  <c r="F416" i="122"/>
  <c r="H318" i="122"/>
  <c r="N318" i="122" s="1"/>
  <c r="F470" i="122"/>
  <c r="H372" i="122"/>
  <c r="N372" i="122" s="1"/>
  <c r="F480" i="122"/>
  <c r="H382" i="122"/>
  <c r="N382" i="122" s="1"/>
  <c r="H390" i="122"/>
  <c r="N390" i="122" s="1"/>
  <c r="F488" i="122"/>
  <c r="H356" i="122"/>
  <c r="N356" i="122" s="1"/>
  <c r="F454" i="122"/>
  <c r="F492" i="122"/>
  <c r="G402" i="122"/>
  <c r="H354" i="122"/>
  <c r="N354" i="122" s="1"/>
  <c r="F452" i="122"/>
  <c r="F415" i="122"/>
  <c r="F423" i="122"/>
  <c r="H325" i="122"/>
  <c r="N325" i="122" s="1"/>
  <c r="F408" i="122"/>
  <c r="H310" i="122"/>
  <c r="N310" i="122" s="1"/>
  <c r="F441" i="122"/>
  <c r="H343" i="122"/>
  <c r="N343" i="122" s="1"/>
  <c r="F457" i="122"/>
  <c r="H359" i="122"/>
  <c r="N359" i="122" s="1"/>
  <c r="H378" i="122"/>
  <c r="N378" i="122" s="1"/>
  <c r="F476" i="122"/>
  <c r="F489" i="122"/>
  <c r="H391" i="122"/>
  <c r="N391" i="122" s="1"/>
  <c r="F485" i="122"/>
  <c r="H387" i="122"/>
  <c r="N387" i="122" s="1"/>
  <c r="H306" i="122"/>
  <c r="N306" i="122" s="1"/>
  <c r="F404" i="122"/>
  <c r="H360" i="122"/>
  <c r="N360" i="122" s="1"/>
  <c r="F458" i="122"/>
  <c r="H366" i="122"/>
  <c r="N366" i="122" s="1"/>
  <c r="F464" i="122"/>
  <c r="F494" i="122"/>
  <c r="H396" i="122"/>
  <c r="N396" i="122" s="1"/>
  <c r="F445" i="122"/>
  <c r="H347" i="122"/>
  <c r="N347" i="122" s="1"/>
  <c r="H380" i="122"/>
  <c r="N380" i="122" s="1"/>
  <c r="F478" i="122"/>
  <c r="H379" i="122"/>
  <c r="N379" i="122" s="1"/>
  <c r="F477" i="122"/>
  <c r="F437" i="122"/>
  <c r="H339" i="122"/>
  <c r="N339" i="122" s="1"/>
  <c r="H305" i="122"/>
  <c r="N305" i="122" s="1"/>
  <c r="F403" i="122"/>
  <c r="F429" i="122"/>
  <c r="H331" i="122"/>
  <c r="N331" i="122" s="1"/>
  <c r="F438" i="122"/>
  <c r="H340" i="122"/>
  <c r="N340" i="122" s="1"/>
  <c r="H329" i="122"/>
  <c r="N329" i="122" s="1"/>
  <c r="F427" i="122"/>
  <c r="H326" i="122"/>
  <c r="N326" i="122" s="1"/>
  <c r="F424" i="122"/>
  <c r="H313" i="122"/>
  <c r="N313" i="122" s="1"/>
  <c r="F411" i="122"/>
  <c r="F491" i="122"/>
  <c r="H393" i="122"/>
  <c r="N393" i="122" s="1"/>
  <c r="F493" i="122"/>
  <c r="H395" i="122"/>
  <c r="N395" i="122" s="1"/>
  <c r="H308" i="122"/>
  <c r="N308" i="122" s="1"/>
  <c r="F406" i="122"/>
  <c r="F410" i="122"/>
  <c r="H312" i="122"/>
  <c r="N312" i="122" s="1"/>
  <c r="H371" i="122"/>
  <c r="N371" i="122" s="1"/>
  <c r="F469" i="122"/>
  <c r="F431" i="122"/>
  <c r="H333" i="122"/>
  <c r="N333" i="122" s="1"/>
  <c r="F473" i="122"/>
  <c r="H375" i="122"/>
  <c r="N375" i="122" s="1"/>
  <c r="H351" i="122"/>
  <c r="N351" i="122" s="1"/>
  <c r="F449" i="122"/>
  <c r="H363" i="122"/>
  <c r="N363" i="122" s="1"/>
  <c r="F461" i="122"/>
  <c r="F456" i="122"/>
  <c r="H358" i="122"/>
  <c r="N358" i="122" s="1"/>
  <c r="F420" i="122"/>
  <c r="H322" i="122"/>
  <c r="N322" i="122" s="1"/>
  <c r="H330" i="122"/>
  <c r="N330" i="122" s="1"/>
  <c r="F428" i="122"/>
  <c r="H337" i="122"/>
  <c r="N337" i="122" s="1"/>
  <c r="F435" i="122"/>
  <c r="F418" i="122"/>
  <c r="H320" i="122"/>
  <c r="N320" i="122" s="1"/>
  <c r="F426" i="122"/>
  <c r="H328" i="122"/>
  <c r="N328" i="122" s="1"/>
  <c r="F471" i="122"/>
  <c r="H373" i="122"/>
  <c r="N373" i="122" s="1"/>
  <c r="F467" i="122"/>
  <c r="H369" i="122"/>
  <c r="N369" i="122" s="1"/>
  <c r="F448" i="122"/>
  <c r="H350" i="122"/>
  <c r="N350" i="122" s="1"/>
  <c r="F472" i="122"/>
  <c r="H374" i="122"/>
  <c r="N374" i="122" s="1"/>
  <c r="F443" i="122"/>
  <c r="H345" i="122"/>
  <c r="N345" i="122" s="1"/>
  <c r="F486" i="122"/>
  <c r="H388" i="122"/>
  <c r="N388" i="122" s="1"/>
  <c r="H332" i="122"/>
  <c r="N332" i="122" s="1"/>
  <c r="F430" i="122"/>
  <c r="H348" i="122"/>
  <c r="N348" i="122" s="1"/>
  <c r="F446" i="122"/>
  <c r="F450" i="122"/>
  <c r="H352" i="122"/>
  <c r="N352" i="122" s="1"/>
  <c r="H316" i="122"/>
  <c r="N316" i="122" s="1"/>
  <c r="F414" i="122"/>
  <c r="F453" i="122"/>
  <c r="H355" i="122"/>
  <c r="N355" i="122" s="1"/>
  <c r="F417" i="122"/>
  <c r="H319" i="122"/>
  <c r="N319" i="122" s="1"/>
  <c r="H341" i="122"/>
  <c r="N341" i="122" s="1"/>
  <c r="F439" i="122"/>
  <c r="F402" i="122"/>
  <c r="H304" i="122"/>
  <c r="F397" i="122"/>
  <c r="F455" i="122"/>
  <c r="H357" i="122"/>
  <c r="N357" i="122" s="1"/>
  <c r="H377" i="122"/>
  <c r="N377" i="122" s="1"/>
  <c r="F475" i="122"/>
  <c r="F462" i="122"/>
  <c r="H364" i="122"/>
  <c r="N364" i="122" s="1"/>
  <c r="H392" i="122"/>
  <c r="N392" i="122" s="1"/>
  <c r="F490" i="122"/>
  <c r="F432" i="122"/>
  <c r="H334" i="122"/>
  <c r="N334" i="122" s="1"/>
  <c r="F407" i="122"/>
  <c r="H309" i="122"/>
  <c r="N309" i="122" s="1"/>
  <c r="H346" i="122"/>
  <c r="N346" i="122" s="1"/>
  <c r="F444" i="122"/>
  <c r="H361" i="122"/>
  <c r="N361" i="122" s="1"/>
  <c r="F459" i="122"/>
  <c r="H384" i="122"/>
  <c r="N384" i="122" s="1"/>
  <c r="F482" i="122"/>
  <c r="F440" i="122"/>
  <c r="H342" i="122"/>
  <c r="N342" i="122" s="1"/>
  <c r="H362" i="122"/>
  <c r="N362" i="122" s="1"/>
  <c r="F460" i="122"/>
  <c r="F421" i="122"/>
  <c r="H323" i="122"/>
  <c r="N323" i="122" s="1"/>
  <c r="H344" i="122"/>
  <c r="N344" i="122" s="1"/>
  <c r="F442" i="122"/>
  <c r="F481" i="122"/>
  <c r="H383" i="122"/>
  <c r="N383" i="122" s="1"/>
  <c r="G629" i="122"/>
  <c r="H629" i="122" s="1"/>
  <c r="N629" i="122" s="1"/>
  <c r="H531" i="122"/>
  <c r="N531" i="122" s="1"/>
  <c r="H349" i="122"/>
  <c r="N349" i="122" s="1"/>
  <c r="F447" i="122"/>
  <c r="F405" i="122"/>
  <c r="H307" i="122"/>
  <c r="N307" i="122" s="1"/>
  <c r="H336" i="122"/>
  <c r="N336" i="122" s="1"/>
  <c r="F434" i="122"/>
  <c r="H353" i="122"/>
  <c r="N353" i="122" s="1"/>
  <c r="F451" i="122"/>
  <c r="F425" i="122"/>
  <c r="H327" i="122"/>
  <c r="N327" i="122" s="1"/>
  <c r="H365" i="122"/>
  <c r="N365" i="122" s="1"/>
  <c r="F463" i="122"/>
  <c r="H370" i="122"/>
  <c r="N370" i="122" s="1"/>
  <c r="F468" i="122"/>
  <c r="H381" i="122"/>
  <c r="N381" i="122" s="1"/>
  <c r="F479" i="122"/>
  <c r="F436" i="122"/>
  <c r="H338" i="122"/>
  <c r="N338" i="122" s="1"/>
  <c r="N206" i="122"/>
  <c r="F487" i="122"/>
  <c r="H389" i="122"/>
  <c r="N389" i="122" s="1"/>
  <c r="F419" i="122"/>
  <c r="H321" i="122"/>
  <c r="N321" i="122" s="1"/>
  <c r="F409" i="122"/>
  <c r="H311" i="122"/>
  <c r="N311" i="122" s="1"/>
  <c r="F413" i="122"/>
  <c r="H315" i="122"/>
  <c r="N315" i="122" s="1"/>
  <c r="F412" i="122"/>
  <c r="H314" i="122"/>
  <c r="N314" i="122" s="1"/>
  <c r="F466" i="122"/>
  <c r="H368" i="122"/>
  <c r="N368" i="122" s="1"/>
  <c r="H376" i="122"/>
  <c r="N376" i="122" s="1"/>
  <c r="F474" i="122"/>
  <c r="F483" i="122"/>
  <c r="H385" i="122"/>
  <c r="N385" i="122" s="1"/>
  <c r="F422" i="122"/>
  <c r="H324" i="122"/>
  <c r="N324" i="122" s="1"/>
  <c r="H386" i="122"/>
  <c r="N386" i="122" s="1"/>
  <c r="F484" i="122"/>
  <c r="F311" i="119" l="1"/>
  <c r="H258" i="119"/>
  <c r="N258" i="119" s="1"/>
  <c r="F305" i="119"/>
  <c r="H252" i="119"/>
  <c r="N252" i="119" s="1"/>
  <c r="F318" i="119"/>
  <c r="H265" i="119"/>
  <c r="N265" i="119" s="1"/>
  <c r="H241" i="119"/>
  <c r="N241" i="119" s="1"/>
  <c r="F294" i="119"/>
  <c r="F285" i="119"/>
  <c r="H232" i="119"/>
  <c r="N232" i="119" s="1"/>
  <c r="F293" i="119"/>
  <c r="H240" i="119"/>
  <c r="N240" i="119" s="1"/>
  <c r="H233" i="119"/>
  <c r="N233" i="119" s="1"/>
  <c r="F286" i="119"/>
  <c r="F281" i="119"/>
  <c r="H228" i="119"/>
  <c r="N228" i="119" s="1"/>
  <c r="F322" i="119"/>
  <c r="H269" i="119"/>
  <c r="N269" i="119" s="1"/>
  <c r="H253" i="119"/>
  <c r="N253" i="119" s="1"/>
  <c r="F306" i="119"/>
  <c r="H236" i="119"/>
  <c r="N236" i="119" s="1"/>
  <c r="F289" i="119"/>
  <c r="F299" i="119"/>
  <c r="H246" i="119"/>
  <c r="N246" i="119" s="1"/>
  <c r="H223" i="119"/>
  <c r="N223" i="119" s="1"/>
  <c r="F276" i="119"/>
  <c r="H245" i="119"/>
  <c r="N245" i="119" s="1"/>
  <c r="F298" i="119"/>
  <c r="F277" i="119"/>
  <c r="H224" i="119"/>
  <c r="N224" i="119" s="1"/>
  <c r="F317" i="119"/>
  <c r="H264" i="119"/>
  <c r="N264" i="119" s="1"/>
  <c r="G275" i="119"/>
  <c r="F314" i="119"/>
  <c r="H261" i="119"/>
  <c r="N261" i="119" s="1"/>
  <c r="F302" i="119"/>
  <c r="H256" i="119"/>
  <c r="N256" i="119" s="1"/>
  <c r="F309" i="119"/>
  <c r="F312" i="119"/>
  <c r="H259" i="119"/>
  <c r="N259" i="119" s="1"/>
  <c r="F303" i="119"/>
  <c r="F292" i="119"/>
  <c r="H239" i="119"/>
  <c r="N239" i="119" s="1"/>
  <c r="H222" i="119"/>
  <c r="F270" i="119"/>
  <c r="F275" i="119"/>
  <c r="F288" i="119"/>
  <c r="H235" i="119"/>
  <c r="N235" i="119" s="1"/>
  <c r="F319" i="119"/>
  <c r="H266" i="119"/>
  <c r="N266" i="119" s="1"/>
  <c r="F290" i="119"/>
  <c r="H237" i="119"/>
  <c r="N237" i="119" s="1"/>
  <c r="F300" i="119"/>
  <c r="H262" i="119"/>
  <c r="N262" i="119" s="1"/>
  <c r="F315" i="119"/>
  <c r="H263" i="119"/>
  <c r="N263" i="119" s="1"/>
  <c r="F316" i="119"/>
  <c r="F301" i="119"/>
  <c r="F291" i="119"/>
  <c r="H238" i="119"/>
  <c r="N238" i="119" s="1"/>
  <c r="F320" i="119"/>
  <c r="H267" i="119"/>
  <c r="N267" i="119" s="1"/>
  <c r="F282" i="119"/>
  <c r="H229" i="119"/>
  <c r="N229" i="119" s="1"/>
  <c r="H234" i="119"/>
  <c r="N234" i="119" s="1"/>
  <c r="F287" i="119"/>
  <c r="F308" i="119"/>
  <c r="H255" i="119"/>
  <c r="N255" i="119" s="1"/>
  <c r="H244" i="119"/>
  <c r="N244" i="119" s="1"/>
  <c r="F297" i="119"/>
  <c r="F321" i="119"/>
  <c r="H268" i="119"/>
  <c r="N268" i="119" s="1"/>
  <c r="N169" i="119"/>
  <c r="F284" i="119"/>
  <c r="H231" i="119"/>
  <c r="N231" i="119" s="1"/>
  <c r="H257" i="119"/>
  <c r="N257" i="119" s="1"/>
  <c r="F310" i="119"/>
  <c r="F296" i="119"/>
  <c r="H243" i="119"/>
  <c r="N243" i="119" s="1"/>
  <c r="F304" i="119"/>
  <c r="H254" i="119"/>
  <c r="N254" i="119" s="1"/>
  <c r="F307" i="119"/>
  <c r="H225" i="119"/>
  <c r="N225" i="119" s="1"/>
  <c r="F278" i="119"/>
  <c r="F279" i="119"/>
  <c r="H226" i="119"/>
  <c r="N226" i="119" s="1"/>
  <c r="H227" i="119"/>
  <c r="N227" i="119" s="1"/>
  <c r="F280" i="119"/>
  <c r="F295" i="119"/>
  <c r="H242" i="119"/>
  <c r="N242" i="119" s="1"/>
  <c r="H230" i="119"/>
  <c r="N230" i="119" s="1"/>
  <c r="F283" i="119"/>
  <c r="F313" i="119"/>
  <c r="H260" i="119"/>
  <c r="N260" i="119" s="1"/>
  <c r="G425" i="119"/>
  <c r="G390" i="119"/>
  <c r="G417" i="119"/>
  <c r="G394" i="119"/>
  <c r="G419" i="119"/>
  <c r="F582" i="122"/>
  <c r="H484" i="122"/>
  <c r="N484" i="122" s="1"/>
  <c r="F577" i="122"/>
  <c r="H479" i="122"/>
  <c r="N479" i="122" s="1"/>
  <c r="F549" i="122"/>
  <c r="H451" i="122"/>
  <c r="N451" i="122" s="1"/>
  <c r="F558" i="122"/>
  <c r="H460" i="122"/>
  <c r="N460" i="122" s="1"/>
  <c r="F542" i="122"/>
  <c r="H444" i="122"/>
  <c r="N444" i="122" s="1"/>
  <c r="F500" i="122"/>
  <c r="H402" i="122"/>
  <c r="F495" i="122"/>
  <c r="H486" i="122"/>
  <c r="N486" i="122" s="1"/>
  <c r="F584" i="122"/>
  <c r="F565" i="122"/>
  <c r="H467" i="122"/>
  <c r="N467" i="122" s="1"/>
  <c r="F559" i="122"/>
  <c r="H461" i="122"/>
  <c r="N461" i="122" s="1"/>
  <c r="H469" i="122"/>
  <c r="N469" i="122" s="1"/>
  <c r="F567" i="122"/>
  <c r="F575" i="122"/>
  <c r="H477" i="122"/>
  <c r="N477" i="122" s="1"/>
  <c r="H464" i="122"/>
  <c r="N464" i="122" s="1"/>
  <c r="F562" i="122"/>
  <c r="H466" i="122"/>
  <c r="N466" i="122" s="1"/>
  <c r="F564" i="122"/>
  <c r="F517" i="122"/>
  <c r="H419" i="122"/>
  <c r="N419" i="122" s="1"/>
  <c r="H462" i="122"/>
  <c r="N462" i="122" s="1"/>
  <c r="F560" i="122"/>
  <c r="H439" i="122"/>
  <c r="N439" i="122" s="1"/>
  <c r="F537" i="122"/>
  <c r="H428" i="122"/>
  <c r="N428" i="122" s="1"/>
  <c r="F526" i="122"/>
  <c r="F589" i="122"/>
  <c r="H491" i="122"/>
  <c r="N491" i="122" s="1"/>
  <c r="F536" i="122"/>
  <c r="H438" i="122"/>
  <c r="N438" i="122" s="1"/>
  <c r="H489" i="122"/>
  <c r="N489" i="122" s="1"/>
  <c r="F587" i="122"/>
  <c r="F506" i="122"/>
  <c r="H408" i="122"/>
  <c r="N408" i="122" s="1"/>
  <c r="G500" i="122"/>
  <c r="F578" i="122"/>
  <c r="H480" i="122"/>
  <c r="N480" i="122" s="1"/>
  <c r="F566" i="122"/>
  <c r="H468" i="122"/>
  <c r="N468" i="122" s="1"/>
  <c r="F532" i="122"/>
  <c r="H434" i="122"/>
  <c r="N434" i="122" s="1"/>
  <c r="F573" i="122"/>
  <c r="H475" i="122"/>
  <c r="N475" i="122" s="1"/>
  <c r="H450" i="122"/>
  <c r="N450" i="122" s="1"/>
  <c r="F548" i="122"/>
  <c r="H443" i="122"/>
  <c r="N443" i="122" s="1"/>
  <c r="F541" i="122"/>
  <c r="F569" i="122"/>
  <c r="H471" i="122"/>
  <c r="N471" i="122" s="1"/>
  <c r="F547" i="122"/>
  <c r="H449" i="122"/>
  <c r="N449" i="122" s="1"/>
  <c r="F509" i="122"/>
  <c r="H411" i="122"/>
  <c r="N411" i="122" s="1"/>
  <c r="H478" i="122"/>
  <c r="N478" i="122" s="1"/>
  <c r="F576" i="122"/>
  <c r="H458" i="122"/>
  <c r="N458" i="122" s="1"/>
  <c r="F556" i="122"/>
  <c r="H476" i="122"/>
  <c r="N476" i="122" s="1"/>
  <c r="F574" i="122"/>
  <c r="F590" i="122"/>
  <c r="H409" i="122"/>
  <c r="N409" i="122" s="1"/>
  <c r="F507" i="122"/>
  <c r="H414" i="122"/>
  <c r="N414" i="122" s="1"/>
  <c r="F512" i="122"/>
  <c r="F520" i="122"/>
  <c r="H422" i="122"/>
  <c r="N422" i="122" s="1"/>
  <c r="H412" i="122"/>
  <c r="N412" i="122" s="1"/>
  <c r="F510" i="122"/>
  <c r="H487" i="122"/>
  <c r="N487" i="122" s="1"/>
  <c r="F585" i="122"/>
  <c r="H481" i="122"/>
  <c r="N481" i="122" s="1"/>
  <c r="F579" i="122"/>
  <c r="H440" i="122"/>
  <c r="N440" i="122" s="1"/>
  <c r="F538" i="122"/>
  <c r="F505" i="122"/>
  <c r="H407" i="122"/>
  <c r="N407" i="122" s="1"/>
  <c r="F544" i="122"/>
  <c r="H446" i="122"/>
  <c r="N446" i="122" s="1"/>
  <c r="F508" i="122"/>
  <c r="H410" i="122"/>
  <c r="N410" i="122" s="1"/>
  <c r="F527" i="122"/>
  <c r="H429" i="122"/>
  <c r="N429" i="122" s="1"/>
  <c r="F521" i="122"/>
  <c r="H423" i="122"/>
  <c r="N423" i="122" s="1"/>
  <c r="F561" i="122"/>
  <c r="H463" i="122"/>
  <c r="N463" i="122" s="1"/>
  <c r="F540" i="122"/>
  <c r="H442" i="122"/>
  <c r="N442" i="122" s="1"/>
  <c r="F580" i="122"/>
  <c r="H482" i="122"/>
  <c r="N482" i="122" s="1"/>
  <c r="H417" i="122"/>
  <c r="N417" i="122" s="1"/>
  <c r="F515" i="122"/>
  <c r="F570" i="122"/>
  <c r="H472" i="122"/>
  <c r="N472" i="122" s="1"/>
  <c r="H426" i="122"/>
  <c r="N426" i="122" s="1"/>
  <c r="F524" i="122"/>
  <c r="F518" i="122"/>
  <c r="H420" i="122"/>
  <c r="N420" i="122" s="1"/>
  <c r="F504" i="122"/>
  <c r="H406" i="122"/>
  <c r="N406" i="122" s="1"/>
  <c r="F522" i="122"/>
  <c r="H424" i="122"/>
  <c r="N424" i="122" s="1"/>
  <c r="F501" i="122"/>
  <c r="H403" i="122"/>
  <c r="N403" i="122" s="1"/>
  <c r="H404" i="122"/>
  <c r="N404" i="122" s="1"/>
  <c r="F502" i="122"/>
  <c r="F513" i="122"/>
  <c r="H454" i="122"/>
  <c r="N454" i="122" s="1"/>
  <c r="F552" i="122"/>
  <c r="F581" i="122"/>
  <c r="H483" i="122"/>
  <c r="N483" i="122" s="1"/>
  <c r="H413" i="122"/>
  <c r="N413" i="122" s="1"/>
  <c r="F511" i="122"/>
  <c r="F503" i="122"/>
  <c r="H405" i="122"/>
  <c r="N405" i="122" s="1"/>
  <c r="F530" i="122"/>
  <c r="H432" i="122"/>
  <c r="N432" i="122" s="1"/>
  <c r="H455" i="122"/>
  <c r="N455" i="122" s="1"/>
  <c r="F553" i="122"/>
  <c r="F528" i="122"/>
  <c r="H430" i="122"/>
  <c r="N430" i="122" s="1"/>
  <c r="F571" i="122"/>
  <c r="H473" i="122"/>
  <c r="N473" i="122" s="1"/>
  <c r="H445" i="122"/>
  <c r="N445" i="122" s="1"/>
  <c r="F543" i="122"/>
  <c r="H457" i="122"/>
  <c r="N457" i="122" s="1"/>
  <c r="F555" i="122"/>
  <c r="F514" i="122"/>
  <c r="H416" i="122"/>
  <c r="N416" i="122" s="1"/>
  <c r="H470" i="122"/>
  <c r="N470" i="122" s="1"/>
  <c r="F568" i="122"/>
  <c r="H474" i="122"/>
  <c r="N474" i="122" s="1"/>
  <c r="F572" i="122"/>
  <c r="H447" i="122"/>
  <c r="N447" i="122" s="1"/>
  <c r="F545" i="122"/>
  <c r="H459" i="122"/>
  <c r="N459" i="122" s="1"/>
  <c r="F557" i="122"/>
  <c r="H490" i="122"/>
  <c r="N490" i="122" s="1"/>
  <c r="F588" i="122"/>
  <c r="H453" i="122"/>
  <c r="N453" i="122" s="1"/>
  <c r="F551" i="122"/>
  <c r="H448" i="122"/>
  <c r="N448" i="122" s="1"/>
  <c r="F546" i="122"/>
  <c r="H418" i="122"/>
  <c r="N418" i="122" s="1"/>
  <c r="F516" i="122"/>
  <c r="F525" i="122"/>
  <c r="H427" i="122"/>
  <c r="N427" i="122" s="1"/>
  <c r="H452" i="122"/>
  <c r="N452" i="122" s="1"/>
  <c r="F550" i="122"/>
  <c r="H488" i="122"/>
  <c r="N488" i="122" s="1"/>
  <c r="F586" i="122"/>
  <c r="H436" i="122"/>
  <c r="N436" i="122" s="1"/>
  <c r="F534" i="122"/>
  <c r="H425" i="122"/>
  <c r="N425" i="122" s="1"/>
  <c r="F523" i="122"/>
  <c r="H421" i="122"/>
  <c r="N421" i="122" s="1"/>
  <c r="F519" i="122"/>
  <c r="N304" i="122"/>
  <c r="F533" i="122"/>
  <c r="H435" i="122"/>
  <c r="N435" i="122" s="1"/>
  <c r="H456" i="122"/>
  <c r="N456" i="122" s="1"/>
  <c r="F554" i="122"/>
  <c r="F529" i="122"/>
  <c r="H431" i="122"/>
  <c r="N431" i="122" s="1"/>
  <c r="F591" i="122"/>
  <c r="H493" i="122"/>
  <c r="N493" i="122" s="1"/>
  <c r="F535" i="122"/>
  <c r="H437" i="122"/>
  <c r="N437" i="122" s="1"/>
  <c r="H494" i="122"/>
  <c r="N494" i="122" s="1"/>
  <c r="F592" i="122"/>
  <c r="H485" i="122"/>
  <c r="N485" i="122" s="1"/>
  <c r="F583" i="122"/>
  <c r="F539" i="122"/>
  <c r="H441" i="122"/>
  <c r="N441" i="122" s="1"/>
  <c r="H465" i="122"/>
  <c r="N465" i="122" s="1"/>
  <c r="F563" i="122"/>
  <c r="F357" i="119" l="1"/>
  <c r="F344" i="119"/>
  <c r="H291" i="119"/>
  <c r="N291" i="119" s="1"/>
  <c r="H287" i="119"/>
  <c r="N287" i="119" s="1"/>
  <c r="F340" i="119"/>
  <c r="N222" i="119"/>
  <c r="H317" i="119"/>
  <c r="N317" i="119" s="1"/>
  <c r="F370" i="119"/>
  <c r="F352" i="119"/>
  <c r="H299" i="119"/>
  <c r="N299" i="119" s="1"/>
  <c r="F334" i="119"/>
  <c r="H281" i="119"/>
  <c r="N281" i="119" s="1"/>
  <c r="F354" i="119"/>
  <c r="F343" i="119"/>
  <c r="H290" i="119"/>
  <c r="N290" i="119" s="1"/>
  <c r="F355" i="119"/>
  <c r="F342" i="119"/>
  <c r="H289" i="119"/>
  <c r="N289" i="119" s="1"/>
  <c r="F339" i="119"/>
  <c r="H286" i="119"/>
  <c r="N286" i="119" s="1"/>
  <c r="H308" i="119"/>
  <c r="N308" i="119" s="1"/>
  <c r="F361" i="119"/>
  <c r="F366" i="119"/>
  <c r="H313" i="119"/>
  <c r="N313" i="119" s="1"/>
  <c r="F369" i="119"/>
  <c r="H316" i="119"/>
  <c r="N316" i="119" s="1"/>
  <c r="H292" i="119"/>
  <c r="N292" i="119" s="1"/>
  <c r="F345" i="119"/>
  <c r="H318" i="119"/>
  <c r="N318" i="119" s="1"/>
  <c r="F371" i="119"/>
  <c r="F336" i="119"/>
  <c r="H283" i="119"/>
  <c r="N283" i="119" s="1"/>
  <c r="H278" i="119"/>
  <c r="N278" i="119" s="1"/>
  <c r="F331" i="119"/>
  <c r="F363" i="119"/>
  <c r="H310" i="119"/>
  <c r="N310" i="119" s="1"/>
  <c r="H321" i="119"/>
  <c r="N321" i="119" s="1"/>
  <c r="F374" i="119"/>
  <c r="F335" i="119"/>
  <c r="H282" i="119"/>
  <c r="N282" i="119" s="1"/>
  <c r="F372" i="119"/>
  <c r="H319" i="119"/>
  <c r="N319" i="119" s="1"/>
  <c r="H298" i="119"/>
  <c r="N298" i="119" s="1"/>
  <c r="F351" i="119"/>
  <c r="F359" i="119"/>
  <c r="H306" i="119"/>
  <c r="N306" i="119" s="1"/>
  <c r="F362" i="119"/>
  <c r="H309" i="119"/>
  <c r="N309" i="119" s="1"/>
  <c r="F330" i="119"/>
  <c r="H277" i="119"/>
  <c r="N277" i="119" s="1"/>
  <c r="F350" i="119"/>
  <c r="H297" i="119"/>
  <c r="N297" i="119" s="1"/>
  <c r="F368" i="119"/>
  <c r="H315" i="119"/>
  <c r="N315" i="119" s="1"/>
  <c r="F356" i="119"/>
  <c r="F367" i="119"/>
  <c r="H314" i="119"/>
  <c r="N314" i="119" s="1"/>
  <c r="H293" i="119"/>
  <c r="N293" i="119" s="1"/>
  <c r="F346" i="119"/>
  <c r="F358" i="119"/>
  <c r="H305" i="119"/>
  <c r="N305" i="119" s="1"/>
  <c r="F333" i="119"/>
  <c r="H280" i="119"/>
  <c r="N280" i="119" s="1"/>
  <c r="F353" i="119"/>
  <c r="H294" i="119"/>
  <c r="N294" i="119" s="1"/>
  <c r="F347" i="119"/>
  <c r="F360" i="119"/>
  <c r="H307" i="119"/>
  <c r="N307" i="119" s="1"/>
  <c r="H320" i="119"/>
  <c r="N320" i="119" s="1"/>
  <c r="F373" i="119"/>
  <c r="F341" i="119"/>
  <c r="H288" i="119"/>
  <c r="N288" i="119" s="1"/>
  <c r="H276" i="119"/>
  <c r="N276" i="119" s="1"/>
  <c r="F329" i="119"/>
  <c r="F337" i="119"/>
  <c r="H284" i="119"/>
  <c r="N284" i="119" s="1"/>
  <c r="F332" i="119"/>
  <c r="H279" i="119"/>
  <c r="N279" i="119" s="1"/>
  <c r="F349" i="119"/>
  <c r="H296" i="119"/>
  <c r="N296" i="119" s="1"/>
  <c r="F348" i="119"/>
  <c r="H295" i="119"/>
  <c r="N295" i="119" s="1"/>
  <c r="H275" i="119"/>
  <c r="F328" i="119"/>
  <c r="F323" i="119"/>
  <c r="F365" i="119"/>
  <c r="H312" i="119"/>
  <c r="N312" i="119" s="1"/>
  <c r="G328" i="119"/>
  <c r="F375" i="119"/>
  <c r="H322" i="119"/>
  <c r="N322" i="119" s="1"/>
  <c r="H285" i="119"/>
  <c r="N285" i="119" s="1"/>
  <c r="F338" i="119"/>
  <c r="F364" i="119"/>
  <c r="H311" i="119"/>
  <c r="N311" i="119" s="1"/>
  <c r="F690" i="122"/>
  <c r="H690" i="122" s="1"/>
  <c r="N690" i="122" s="1"/>
  <c r="H592" i="122"/>
  <c r="N592" i="122" s="1"/>
  <c r="F652" i="122"/>
  <c r="H652" i="122" s="1"/>
  <c r="N652" i="122" s="1"/>
  <c r="H554" i="122"/>
  <c r="N554" i="122" s="1"/>
  <c r="H568" i="122"/>
  <c r="N568" i="122" s="1"/>
  <c r="F666" i="122"/>
  <c r="H666" i="122" s="1"/>
  <c r="N666" i="122" s="1"/>
  <c r="F668" i="122"/>
  <c r="H668" i="122" s="1"/>
  <c r="N668" i="122" s="1"/>
  <c r="H570" i="122"/>
  <c r="N570" i="122" s="1"/>
  <c r="H544" i="122"/>
  <c r="N544" i="122" s="1"/>
  <c r="F642" i="122"/>
  <c r="H642" i="122" s="1"/>
  <c r="N642" i="122" s="1"/>
  <c r="F623" i="122"/>
  <c r="H623" i="122" s="1"/>
  <c r="N623" i="122" s="1"/>
  <c r="H525" i="122"/>
  <c r="N525" i="122" s="1"/>
  <c r="H571" i="122"/>
  <c r="N571" i="122" s="1"/>
  <c r="F669" i="122"/>
  <c r="H669" i="122" s="1"/>
  <c r="N669" i="122" s="1"/>
  <c r="F601" i="122"/>
  <c r="H601" i="122" s="1"/>
  <c r="N601" i="122" s="1"/>
  <c r="H503" i="122"/>
  <c r="N503" i="122" s="1"/>
  <c r="F613" i="122"/>
  <c r="H613" i="122" s="1"/>
  <c r="N613" i="122" s="1"/>
  <c r="H515" i="122"/>
  <c r="N515" i="122" s="1"/>
  <c r="F608" i="122"/>
  <c r="H608" i="122" s="1"/>
  <c r="N608" i="122" s="1"/>
  <c r="H510" i="122"/>
  <c r="N510" i="122" s="1"/>
  <c r="F688" i="122"/>
  <c r="F646" i="122"/>
  <c r="H646" i="122" s="1"/>
  <c r="N646" i="122" s="1"/>
  <c r="H548" i="122"/>
  <c r="N548" i="122" s="1"/>
  <c r="F658" i="122"/>
  <c r="H658" i="122" s="1"/>
  <c r="N658" i="122" s="1"/>
  <c r="H560" i="122"/>
  <c r="N560" i="122" s="1"/>
  <c r="F682" i="122"/>
  <c r="H682" i="122" s="1"/>
  <c r="N682" i="122" s="1"/>
  <c r="H584" i="122"/>
  <c r="N584" i="122" s="1"/>
  <c r="F656" i="122"/>
  <c r="H656" i="122" s="1"/>
  <c r="N656" i="122" s="1"/>
  <c r="H558" i="122"/>
  <c r="N558" i="122" s="1"/>
  <c r="H563" i="122"/>
  <c r="N563" i="122" s="1"/>
  <c r="F661" i="122"/>
  <c r="H661" i="122" s="1"/>
  <c r="N661" i="122" s="1"/>
  <c r="F632" i="122"/>
  <c r="H632" i="122" s="1"/>
  <c r="N632" i="122" s="1"/>
  <c r="H534" i="122"/>
  <c r="N534" i="122" s="1"/>
  <c r="H516" i="122"/>
  <c r="N516" i="122" s="1"/>
  <c r="F614" i="122"/>
  <c r="H614" i="122" s="1"/>
  <c r="N614" i="122" s="1"/>
  <c r="F655" i="122"/>
  <c r="H655" i="122" s="1"/>
  <c r="N655" i="122" s="1"/>
  <c r="H557" i="122"/>
  <c r="N557" i="122" s="1"/>
  <c r="F611" i="122"/>
  <c r="H504" i="122"/>
  <c r="N504" i="122" s="1"/>
  <c r="F602" i="122"/>
  <c r="H602" i="122" s="1"/>
  <c r="N602" i="122" s="1"/>
  <c r="H521" i="122"/>
  <c r="N521" i="122" s="1"/>
  <c r="F619" i="122"/>
  <c r="H619" i="122" s="1"/>
  <c r="N619" i="122" s="1"/>
  <c r="F603" i="122"/>
  <c r="H603" i="122" s="1"/>
  <c r="N603" i="122" s="1"/>
  <c r="H505" i="122"/>
  <c r="N505" i="122" s="1"/>
  <c r="F607" i="122"/>
  <c r="H607" i="122" s="1"/>
  <c r="N607" i="122" s="1"/>
  <c r="H509" i="122"/>
  <c r="N509" i="122" s="1"/>
  <c r="F676" i="122"/>
  <c r="H676" i="122" s="1"/>
  <c r="N676" i="122" s="1"/>
  <c r="H578" i="122"/>
  <c r="N578" i="122" s="1"/>
  <c r="H536" i="122"/>
  <c r="N536" i="122" s="1"/>
  <c r="F634" i="122"/>
  <c r="H634" i="122" s="1"/>
  <c r="N634" i="122" s="1"/>
  <c r="F673" i="122"/>
  <c r="H673" i="122" s="1"/>
  <c r="N673" i="122" s="1"/>
  <c r="H575" i="122"/>
  <c r="N575" i="122" s="1"/>
  <c r="F633" i="122"/>
  <c r="H633" i="122" s="1"/>
  <c r="N633" i="122" s="1"/>
  <c r="H535" i="122"/>
  <c r="N535" i="122" s="1"/>
  <c r="H533" i="122"/>
  <c r="N533" i="122" s="1"/>
  <c r="F631" i="122"/>
  <c r="H631" i="122" s="1"/>
  <c r="N631" i="122" s="1"/>
  <c r="F612" i="122"/>
  <c r="H612" i="122" s="1"/>
  <c r="N612" i="122" s="1"/>
  <c r="H514" i="122"/>
  <c r="N514" i="122" s="1"/>
  <c r="F626" i="122"/>
  <c r="H626" i="122" s="1"/>
  <c r="N626" i="122" s="1"/>
  <c r="H528" i="122"/>
  <c r="N528" i="122" s="1"/>
  <c r="F609" i="122"/>
  <c r="H609" i="122" s="1"/>
  <c r="N609" i="122" s="1"/>
  <c r="H511" i="122"/>
  <c r="N511" i="122" s="1"/>
  <c r="H502" i="122"/>
  <c r="N502" i="122" s="1"/>
  <c r="F600" i="122"/>
  <c r="H600" i="122" s="1"/>
  <c r="N600" i="122" s="1"/>
  <c r="F636" i="122"/>
  <c r="H636" i="122" s="1"/>
  <c r="N636" i="122" s="1"/>
  <c r="H538" i="122"/>
  <c r="N538" i="122" s="1"/>
  <c r="F672" i="122"/>
  <c r="H672" i="122" s="1"/>
  <c r="N672" i="122" s="1"/>
  <c r="H574" i="122"/>
  <c r="N574" i="122" s="1"/>
  <c r="G598" i="122"/>
  <c r="F665" i="122"/>
  <c r="H665" i="122" s="1"/>
  <c r="N665" i="122" s="1"/>
  <c r="H567" i="122"/>
  <c r="N567" i="122" s="1"/>
  <c r="F647" i="122"/>
  <c r="H647" i="122" s="1"/>
  <c r="N647" i="122" s="1"/>
  <c r="H549" i="122"/>
  <c r="N549" i="122" s="1"/>
  <c r="F621" i="122"/>
  <c r="H621" i="122" s="1"/>
  <c r="N621" i="122" s="1"/>
  <c r="H523" i="122"/>
  <c r="N523" i="122" s="1"/>
  <c r="F659" i="122"/>
  <c r="H659" i="122" s="1"/>
  <c r="N659" i="122" s="1"/>
  <c r="H561" i="122"/>
  <c r="N561" i="122" s="1"/>
  <c r="F664" i="122"/>
  <c r="H664" i="122" s="1"/>
  <c r="N664" i="122" s="1"/>
  <c r="H566" i="122"/>
  <c r="N566" i="122" s="1"/>
  <c r="H565" i="122"/>
  <c r="N565" i="122" s="1"/>
  <c r="F663" i="122"/>
  <c r="H663" i="122" s="1"/>
  <c r="N663" i="122" s="1"/>
  <c r="F644" i="122"/>
  <c r="H644" i="122" s="1"/>
  <c r="N644" i="122" s="1"/>
  <c r="H546" i="122"/>
  <c r="N546" i="122" s="1"/>
  <c r="H518" i="122"/>
  <c r="N518" i="122" s="1"/>
  <c r="F616" i="122"/>
  <c r="H616" i="122" s="1"/>
  <c r="N616" i="122" s="1"/>
  <c r="F615" i="122"/>
  <c r="H615" i="122" s="1"/>
  <c r="N615" i="122" s="1"/>
  <c r="H517" i="122"/>
  <c r="N517" i="122" s="1"/>
  <c r="F687" i="122"/>
  <c r="H687" i="122" s="1"/>
  <c r="N687" i="122" s="1"/>
  <c r="H589" i="122"/>
  <c r="N589" i="122" s="1"/>
  <c r="H579" i="122"/>
  <c r="N579" i="122" s="1"/>
  <c r="F677" i="122"/>
  <c r="H677" i="122" s="1"/>
  <c r="N677" i="122" s="1"/>
  <c r="F662" i="122"/>
  <c r="H662" i="122" s="1"/>
  <c r="N662" i="122" s="1"/>
  <c r="H564" i="122"/>
  <c r="N564" i="122" s="1"/>
  <c r="F675" i="122"/>
  <c r="H675" i="122" s="1"/>
  <c r="N675" i="122" s="1"/>
  <c r="H577" i="122"/>
  <c r="N577" i="122" s="1"/>
  <c r="F681" i="122"/>
  <c r="H681" i="122" s="1"/>
  <c r="N681" i="122" s="1"/>
  <c r="H583" i="122"/>
  <c r="N583" i="122" s="1"/>
  <c r="F617" i="122"/>
  <c r="H617" i="122" s="1"/>
  <c r="N617" i="122" s="1"/>
  <c r="H519" i="122"/>
  <c r="N519" i="122" s="1"/>
  <c r="F648" i="122"/>
  <c r="H648" i="122" s="1"/>
  <c r="N648" i="122" s="1"/>
  <c r="H550" i="122"/>
  <c r="N550" i="122" s="1"/>
  <c r="F649" i="122"/>
  <c r="H649" i="122" s="1"/>
  <c r="N649" i="122" s="1"/>
  <c r="H551" i="122"/>
  <c r="N551" i="122" s="1"/>
  <c r="H572" i="122"/>
  <c r="N572" i="122" s="1"/>
  <c r="F670" i="122"/>
  <c r="H670" i="122" s="1"/>
  <c r="N670" i="122" s="1"/>
  <c r="F641" i="122"/>
  <c r="H641" i="122" s="1"/>
  <c r="N641" i="122" s="1"/>
  <c r="H543" i="122"/>
  <c r="N543" i="122" s="1"/>
  <c r="H581" i="122"/>
  <c r="N581" i="122" s="1"/>
  <c r="F679" i="122"/>
  <c r="H679" i="122" s="1"/>
  <c r="N679" i="122" s="1"/>
  <c r="H501" i="122"/>
  <c r="N501" i="122" s="1"/>
  <c r="F599" i="122"/>
  <c r="H599" i="122" s="1"/>
  <c r="N599" i="122" s="1"/>
  <c r="H540" i="122"/>
  <c r="N540" i="122" s="1"/>
  <c r="F638" i="122"/>
  <c r="H638" i="122" s="1"/>
  <c r="N638" i="122" s="1"/>
  <c r="F606" i="122"/>
  <c r="H606" i="122" s="1"/>
  <c r="N606" i="122" s="1"/>
  <c r="H508" i="122"/>
  <c r="N508" i="122" s="1"/>
  <c r="H569" i="122"/>
  <c r="N569" i="122" s="1"/>
  <c r="F667" i="122"/>
  <c r="H667" i="122" s="1"/>
  <c r="N667" i="122" s="1"/>
  <c r="F630" i="122"/>
  <c r="H630" i="122" s="1"/>
  <c r="N630" i="122" s="1"/>
  <c r="H532" i="122"/>
  <c r="N532" i="122" s="1"/>
  <c r="F604" i="122"/>
  <c r="H604" i="122" s="1"/>
  <c r="N604" i="122" s="1"/>
  <c r="H506" i="122"/>
  <c r="N506" i="122" s="1"/>
  <c r="F657" i="122"/>
  <c r="H657" i="122" s="1"/>
  <c r="N657" i="122" s="1"/>
  <c r="H559" i="122"/>
  <c r="N559" i="122" s="1"/>
  <c r="F686" i="122"/>
  <c r="H686" i="122" s="1"/>
  <c r="N686" i="122" s="1"/>
  <c r="H588" i="122"/>
  <c r="N588" i="122" s="1"/>
  <c r="F620" i="122"/>
  <c r="H620" i="122" s="1"/>
  <c r="N620" i="122" s="1"/>
  <c r="H522" i="122"/>
  <c r="N522" i="122" s="1"/>
  <c r="F684" i="122"/>
  <c r="H684" i="122" s="1"/>
  <c r="N684" i="122" s="1"/>
  <c r="H586" i="122"/>
  <c r="N586" i="122" s="1"/>
  <c r="F643" i="122"/>
  <c r="H643" i="122" s="1"/>
  <c r="N643" i="122" s="1"/>
  <c r="H545" i="122"/>
  <c r="N545" i="122" s="1"/>
  <c r="F653" i="122"/>
  <c r="H653" i="122" s="1"/>
  <c r="N653" i="122" s="1"/>
  <c r="H555" i="122"/>
  <c r="N555" i="122" s="1"/>
  <c r="F651" i="122"/>
  <c r="H651" i="122" s="1"/>
  <c r="N651" i="122" s="1"/>
  <c r="H553" i="122"/>
  <c r="N553" i="122" s="1"/>
  <c r="F678" i="122"/>
  <c r="H678" i="122" s="1"/>
  <c r="N678" i="122" s="1"/>
  <c r="H580" i="122"/>
  <c r="N580" i="122" s="1"/>
  <c r="F625" i="122"/>
  <c r="H625" i="122" s="1"/>
  <c r="N625" i="122" s="1"/>
  <c r="H527" i="122"/>
  <c r="N527" i="122" s="1"/>
  <c r="H520" i="122"/>
  <c r="N520" i="122" s="1"/>
  <c r="F618" i="122"/>
  <c r="H618" i="122" s="1"/>
  <c r="N618" i="122" s="1"/>
  <c r="H547" i="122"/>
  <c r="N547" i="122" s="1"/>
  <c r="F645" i="122"/>
  <c r="H645" i="122" s="1"/>
  <c r="N645" i="122" s="1"/>
  <c r="F671" i="122"/>
  <c r="H671" i="122" s="1"/>
  <c r="N671" i="122" s="1"/>
  <c r="H573" i="122"/>
  <c r="N573" i="122" s="1"/>
  <c r="N402" i="122"/>
  <c r="F637" i="122"/>
  <c r="H637" i="122" s="1"/>
  <c r="N637" i="122" s="1"/>
  <c r="H539" i="122"/>
  <c r="N539" i="122" s="1"/>
  <c r="F689" i="122"/>
  <c r="H689" i="122" s="1"/>
  <c r="N689" i="122" s="1"/>
  <c r="H591" i="122"/>
  <c r="N591" i="122" s="1"/>
  <c r="F622" i="122"/>
  <c r="H622" i="122" s="1"/>
  <c r="N622" i="122" s="1"/>
  <c r="H524" i="122"/>
  <c r="N524" i="122" s="1"/>
  <c r="F610" i="122"/>
  <c r="H610" i="122" s="1"/>
  <c r="N610" i="122" s="1"/>
  <c r="H512" i="122"/>
  <c r="N512" i="122" s="1"/>
  <c r="F654" i="122"/>
  <c r="H654" i="122" s="1"/>
  <c r="N654" i="122" s="1"/>
  <c r="H556" i="122"/>
  <c r="N556" i="122" s="1"/>
  <c r="H526" i="122"/>
  <c r="N526" i="122" s="1"/>
  <c r="F624" i="122"/>
  <c r="H624" i="122" s="1"/>
  <c r="N624" i="122" s="1"/>
  <c r="F598" i="122"/>
  <c r="H500" i="122"/>
  <c r="F593" i="122"/>
  <c r="F627" i="122"/>
  <c r="H627" i="122" s="1"/>
  <c r="N627" i="122" s="1"/>
  <c r="H529" i="122"/>
  <c r="N529" i="122" s="1"/>
  <c r="F628" i="122"/>
  <c r="H628" i="122" s="1"/>
  <c r="N628" i="122" s="1"/>
  <c r="H530" i="122"/>
  <c r="N530" i="122" s="1"/>
  <c r="F650" i="122"/>
  <c r="H650" i="122" s="1"/>
  <c r="N650" i="122" s="1"/>
  <c r="H552" i="122"/>
  <c r="N552" i="122" s="1"/>
  <c r="H585" i="122"/>
  <c r="N585" i="122" s="1"/>
  <c r="F683" i="122"/>
  <c r="H683" i="122" s="1"/>
  <c r="N683" i="122" s="1"/>
  <c r="F605" i="122"/>
  <c r="H605" i="122" s="1"/>
  <c r="N605" i="122" s="1"/>
  <c r="H507" i="122"/>
  <c r="N507" i="122" s="1"/>
  <c r="H576" i="122"/>
  <c r="N576" i="122" s="1"/>
  <c r="F674" i="122"/>
  <c r="H674" i="122" s="1"/>
  <c r="N674" i="122" s="1"/>
  <c r="H541" i="122"/>
  <c r="N541" i="122" s="1"/>
  <c r="F639" i="122"/>
  <c r="H639" i="122" s="1"/>
  <c r="N639" i="122" s="1"/>
  <c r="F685" i="122"/>
  <c r="H685" i="122" s="1"/>
  <c r="N685" i="122" s="1"/>
  <c r="H587" i="122"/>
  <c r="N587" i="122" s="1"/>
  <c r="H537" i="122"/>
  <c r="N537" i="122" s="1"/>
  <c r="F635" i="122"/>
  <c r="H635" i="122" s="1"/>
  <c r="N635" i="122" s="1"/>
  <c r="F660" i="122"/>
  <c r="H660" i="122" s="1"/>
  <c r="N660" i="122" s="1"/>
  <c r="H562" i="122"/>
  <c r="N562" i="122" s="1"/>
  <c r="H542" i="122"/>
  <c r="N542" i="122" s="1"/>
  <c r="F640" i="122"/>
  <c r="H640" i="122" s="1"/>
  <c r="N640" i="122" s="1"/>
  <c r="F680" i="122"/>
  <c r="H680" i="122" s="1"/>
  <c r="N680" i="122" s="1"/>
  <c r="H582" i="122"/>
  <c r="N582" i="122" s="1"/>
  <c r="H340" i="119" l="1"/>
  <c r="N340" i="119" s="1"/>
  <c r="F393" i="119"/>
  <c r="H393" i="119" s="1"/>
  <c r="N393" i="119" s="1"/>
  <c r="N275" i="119"/>
  <c r="F388" i="119"/>
  <c r="H388" i="119" s="1"/>
  <c r="N388" i="119" s="1"/>
  <c r="H335" i="119"/>
  <c r="N335" i="119" s="1"/>
  <c r="F390" i="119"/>
  <c r="H390" i="119" s="1"/>
  <c r="N390" i="119" s="1"/>
  <c r="H337" i="119"/>
  <c r="N337" i="119" s="1"/>
  <c r="H368" i="119"/>
  <c r="N368" i="119" s="1"/>
  <c r="F421" i="119"/>
  <c r="H421" i="119" s="1"/>
  <c r="N421" i="119" s="1"/>
  <c r="F382" i="119"/>
  <c r="H382" i="119" s="1"/>
  <c r="N382" i="119" s="1"/>
  <c r="H329" i="119"/>
  <c r="N329" i="119" s="1"/>
  <c r="F399" i="119"/>
  <c r="H399" i="119" s="1"/>
  <c r="N399" i="119" s="1"/>
  <c r="H346" i="119"/>
  <c r="N346" i="119" s="1"/>
  <c r="H359" i="119"/>
  <c r="N359" i="119" s="1"/>
  <c r="F412" i="119"/>
  <c r="H412" i="119" s="1"/>
  <c r="N412" i="119" s="1"/>
  <c r="F424" i="119"/>
  <c r="H424" i="119" s="1"/>
  <c r="N424" i="119" s="1"/>
  <c r="H371" i="119"/>
  <c r="N371" i="119" s="1"/>
  <c r="F414" i="119"/>
  <c r="H414" i="119" s="1"/>
  <c r="N414" i="119" s="1"/>
  <c r="H361" i="119"/>
  <c r="N361" i="119" s="1"/>
  <c r="G381" i="119"/>
  <c r="F403" i="119"/>
  <c r="H403" i="119" s="1"/>
  <c r="N403" i="119" s="1"/>
  <c r="H350" i="119"/>
  <c r="N350" i="119" s="1"/>
  <c r="H351" i="119"/>
  <c r="N351" i="119" s="1"/>
  <c r="F404" i="119"/>
  <c r="H404" i="119" s="1"/>
  <c r="N404" i="119" s="1"/>
  <c r="F396" i="119"/>
  <c r="H396" i="119" s="1"/>
  <c r="N396" i="119" s="1"/>
  <c r="H343" i="119"/>
  <c r="N343" i="119" s="1"/>
  <c r="H370" i="119"/>
  <c r="N370" i="119" s="1"/>
  <c r="F423" i="119"/>
  <c r="H423" i="119" s="1"/>
  <c r="N423" i="119" s="1"/>
  <c r="F376" i="119"/>
  <c r="F381" i="119"/>
  <c r="H328" i="119"/>
  <c r="F409" i="119"/>
  <c r="F428" i="119"/>
  <c r="H428" i="119" s="1"/>
  <c r="N428" i="119" s="1"/>
  <c r="H375" i="119"/>
  <c r="N375" i="119" s="1"/>
  <c r="F419" i="119"/>
  <c r="H419" i="119" s="1"/>
  <c r="N419" i="119" s="1"/>
  <c r="H366" i="119"/>
  <c r="N366" i="119" s="1"/>
  <c r="F400" i="119"/>
  <c r="H400" i="119" s="1"/>
  <c r="N400" i="119" s="1"/>
  <c r="H347" i="119"/>
  <c r="N347" i="119" s="1"/>
  <c r="F406" i="119"/>
  <c r="H363" i="119"/>
  <c r="N363" i="119" s="1"/>
  <c r="F416" i="119"/>
  <c r="H416" i="119" s="1"/>
  <c r="N416" i="119" s="1"/>
  <c r="F398" i="119"/>
  <c r="H398" i="119" s="1"/>
  <c r="N398" i="119" s="1"/>
  <c r="H345" i="119"/>
  <c r="N345" i="119" s="1"/>
  <c r="F407" i="119"/>
  <c r="F397" i="119"/>
  <c r="H397" i="119" s="1"/>
  <c r="N397" i="119" s="1"/>
  <c r="H344" i="119"/>
  <c r="N344" i="119" s="1"/>
  <c r="F385" i="119"/>
  <c r="H385" i="119" s="1"/>
  <c r="N385" i="119" s="1"/>
  <c r="H332" i="119"/>
  <c r="N332" i="119" s="1"/>
  <c r="F386" i="119"/>
  <c r="H386" i="119" s="1"/>
  <c r="N386" i="119" s="1"/>
  <c r="H333" i="119"/>
  <c r="N333" i="119" s="1"/>
  <c r="F422" i="119"/>
  <c r="H422" i="119" s="1"/>
  <c r="N422" i="119" s="1"/>
  <c r="H369" i="119"/>
  <c r="N369" i="119" s="1"/>
  <c r="H360" i="119"/>
  <c r="N360" i="119" s="1"/>
  <c r="F413" i="119"/>
  <c r="H413" i="119" s="1"/>
  <c r="N413" i="119" s="1"/>
  <c r="F408" i="119"/>
  <c r="H348" i="119"/>
  <c r="N348" i="119" s="1"/>
  <c r="F401" i="119"/>
  <c r="H401" i="119" s="1"/>
  <c r="N401" i="119" s="1"/>
  <c r="F405" i="119"/>
  <c r="H405" i="119" s="1"/>
  <c r="N405" i="119" s="1"/>
  <c r="H352" i="119"/>
  <c r="N352" i="119" s="1"/>
  <c r="F417" i="119"/>
  <c r="H417" i="119" s="1"/>
  <c r="N417" i="119" s="1"/>
  <c r="H364" i="119"/>
  <c r="N364" i="119" s="1"/>
  <c r="H365" i="119"/>
  <c r="N365" i="119" s="1"/>
  <c r="F418" i="119"/>
  <c r="H418" i="119" s="1"/>
  <c r="N418" i="119" s="1"/>
  <c r="F402" i="119"/>
  <c r="H402" i="119" s="1"/>
  <c r="N402" i="119" s="1"/>
  <c r="H349" i="119"/>
  <c r="N349" i="119" s="1"/>
  <c r="F394" i="119"/>
  <c r="H394" i="119" s="1"/>
  <c r="N394" i="119" s="1"/>
  <c r="H341" i="119"/>
  <c r="N341" i="119" s="1"/>
  <c r="H367" i="119"/>
  <c r="N367" i="119" s="1"/>
  <c r="F420" i="119"/>
  <c r="H420" i="119" s="1"/>
  <c r="N420" i="119" s="1"/>
  <c r="F384" i="119"/>
  <c r="H384" i="119" s="1"/>
  <c r="N384" i="119" s="1"/>
  <c r="H331" i="119"/>
  <c r="N331" i="119" s="1"/>
  <c r="F392" i="119"/>
  <c r="H392" i="119" s="1"/>
  <c r="N392" i="119" s="1"/>
  <c r="H339" i="119"/>
  <c r="N339" i="119" s="1"/>
  <c r="F395" i="119"/>
  <c r="H395" i="119" s="1"/>
  <c r="N395" i="119" s="1"/>
  <c r="H342" i="119"/>
  <c r="N342" i="119" s="1"/>
  <c r="F415" i="119"/>
  <c r="H415" i="119" s="1"/>
  <c r="N415" i="119" s="1"/>
  <c r="H362" i="119"/>
  <c r="N362" i="119" s="1"/>
  <c r="F389" i="119"/>
  <c r="H389" i="119" s="1"/>
  <c r="N389" i="119" s="1"/>
  <c r="H336" i="119"/>
  <c r="N336" i="119" s="1"/>
  <c r="H334" i="119"/>
  <c r="N334" i="119" s="1"/>
  <c r="F387" i="119"/>
  <c r="H387" i="119" s="1"/>
  <c r="N387" i="119" s="1"/>
  <c r="F411" i="119"/>
  <c r="H411" i="119" s="1"/>
  <c r="N411" i="119" s="1"/>
  <c r="H358" i="119"/>
  <c r="N358" i="119" s="1"/>
  <c r="H374" i="119"/>
  <c r="N374" i="119" s="1"/>
  <c r="F427" i="119"/>
  <c r="H427" i="119" s="1"/>
  <c r="N427" i="119" s="1"/>
  <c r="H338" i="119"/>
  <c r="N338" i="119" s="1"/>
  <c r="F391" i="119"/>
  <c r="H391" i="119" s="1"/>
  <c r="N391" i="119" s="1"/>
  <c r="H373" i="119"/>
  <c r="N373" i="119" s="1"/>
  <c r="F426" i="119"/>
  <c r="H426" i="119" s="1"/>
  <c r="N426" i="119" s="1"/>
  <c r="F383" i="119"/>
  <c r="H383" i="119" s="1"/>
  <c r="N383" i="119" s="1"/>
  <c r="H330" i="119"/>
  <c r="N330" i="119" s="1"/>
  <c r="F425" i="119"/>
  <c r="H425" i="119" s="1"/>
  <c r="N425" i="119" s="1"/>
  <c r="H372" i="119"/>
  <c r="N372" i="119" s="1"/>
  <c r="F410" i="119"/>
  <c r="H598" i="122"/>
  <c r="F691" i="122"/>
  <c r="N500" i="122"/>
  <c r="F429" i="119" l="1"/>
  <c r="H381" i="119"/>
  <c r="N328" i="119"/>
  <c r="N598" i="122"/>
  <c r="N381" i="119" l="1"/>
  <c r="C87" i="119" l="1"/>
  <c r="C140" i="119" s="1"/>
  <c r="C193" i="119" s="1"/>
  <c r="C246" i="119" s="1"/>
  <c r="C299" i="119" s="1"/>
  <c r="C352" i="119" s="1"/>
  <c r="C405" i="119" s="1"/>
  <c r="M89" i="119" l="1"/>
  <c r="M90" i="119"/>
  <c r="M91" i="119"/>
  <c r="M92" i="119"/>
  <c r="C88" i="119"/>
  <c r="C141" i="119" s="1"/>
  <c r="C194" i="119" s="1"/>
  <c r="C247" i="119" s="1"/>
  <c r="C300" i="119" s="1"/>
  <c r="C353" i="119" s="1"/>
  <c r="C406" i="119" s="1"/>
  <c r="G145" i="119" l="1"/>
  <c r="N92" i="119"/>
  <c r="M88" i="119"/>
  <c r="J111" i="119"/>
  <c r="G144" i="119"/>
  <c r="N91" i="119"/>
  <c r="G143" i="119"/>
  <c r="N90" i="119"/>
  <c r="G142" i="119"/>
  <c r="N89" i="119"/>
  <c r="C89" i="119"/>
  <c r="C142" i="119" s="1"/>
  <c r="C195" i="119" s="1"/>
  <c r="C248" i="119" s="1"/>
  <c r="C301" i="119" s="1"/>
  <c r="C354" i="119" s="1"/>
  <c r="C407" i="119" s="1"/>
  <c r="G198" i="119" l="1"/>
  <c r="H145" i="119"/>
  <c r="N145" i="119" s="1"/>
  <c r="G196" i="119"/>
  <c r="H143" i="119"/>
  <c r="N143" i="119" s="1"/>
  <c r="G197" i="119"/>
  <c r="H144" i="119"/>
  <c r="N144" i="119" s="1"/>
  <c r="M111" i="119"/>
  <c r="G141" i="119"/>
  <c r="N88" i="119"/>
  <c r="N111" i="119" s="1"/>
  <c r="G195" i="119"/>
  <c r="H142" i="119"/>
  <c r="N142" i="119" s="1"/>
  <c r="C90" i="119"/>
  <c r="C143" i="119" s="1"/>
  <c r="C196" i="119" s="1"/>
  <c r="C249" i="119" s="1"/>
  <c r="C302" i="119" s="1"/>
  <c r="C355" i="119" s="1"/>
  <c r="C408" i="119" s="1"/>
  <c r="G194" i="119" l="1"/>
  <c r="H141" i="119"/>
  <c r="G164" i="119"/>
  <c r="G250" i="119"/>
  <c r="H197" i="119"/>
  <c r="N197" i="119" s="1"/>
  <c r="G249" i="119"/>
  <c r="H196" i="119"/>
  <c r="N196" i="119" s="1"/>
  <c r="G248" i="119"/>
  <c r="H195" i="119"/>
  <c r="N195" i="119" s="1"/>
  <c r="G251" i="119"/>
  <c r="H198" i="119"/>
  <c r="N198" i="119" s="1"/>
  <c r="C91" i="119"/>
  <c r="C144" i="119" s="1"/>
  <c r="C197" i="119" s="1"/>
  <c r="C250" i="119" s="1"/>
  <c r="C303" i="119" s="1"/>
  <c r="C356" i="119" s="1"/>
  <c r="C409" i="119" s="1"/>
  <c r="G301" i="119" l="1"/>
  <c r="H248" i="119"/>
  <c r="N248" i="119" s="1"/>
  <c r="G302" i="119"/>
  <c r="H249" i="119"/>
  <c r="N249" i="119" s="1"/>
  <c r="G303" i="119"/>
  <c r="H250" i="119"/>
  <c r="N250" i="119" s="1"/>
  <c r="G304" i="119"/>
  <c r="H251" i="119"/>
  <c r="N251" i="119" s="1"/>
  <c r="N141" i="119"/>
  <c r="N164" i="119" s="1"/>
  <c r="H164" i="119"/>
  <c r="G247" i="119"/>
  <c r="H194" i="119"/>
  <c r="G217" i="119"/>
  <c r="G357" i="119" l="1"/>
  <c r="H304" i="119"/>
  <c r="N304" i="119" s="1"/>
  <c r="G300" i="119"/>
  <c r="H247" i="119"/>
  <c r="G270" i="119"/>
  <c r="G355" i="119"/>
  <c r="H302" i="119"/>
  <c r="N302" i="119" s="1"/>
  <c r="G356" i="119"/>
  <c r="H303" i="119"/>
  <c r="N303" i="119" s="1"/>
  <c r="N194" i="119"/>
  <c r="N217" i="119" s="1"/>
  <c r="H217" i="119"/>
  <c r="C92" i="119"/>
  <c r="C145" i="119" s="1"/>
  <c r="C198" i="119" s="1"/>
  <c r="C251" i="119" s="1"/>
  <c r="C304" i="119" s="1"/>
  <c r="C357" i="119" s="1"/>
  <c r="C410" i="119" s="1"/>
  <c r="G354" i="119"/>
  <c r="H301" i="119"/>
  <c r="N301" i="119" s="1"/>
  <c r="G409" i="119" l="1"/>
  <c r="H409" i="119" s="1"/>
  <c r="N409" i="119" s="1"/>
  <c r="H356" i="119"/>
  <c r="N356" i="119" s="1"/>
  <c r="G407" i="119"/>
  <c r="H407" i="119" s="1"/>
  <c r="N407" i="119" s="1"/>
  <c r="H354" i="119"/>
  <c r="N354" i="119" s="1"/>
  <c r="G408" i="119"/>
  <c r="H408" i="119" s="1"/>
  <c r="N408" i="119" s="1"/>
  <c r="H355" i="119"/>
  <c r="N355" i="119" s="1"/>
  <c r="N247" i="119"/>
  <c r="N270" i="119" s="1"/>
  <c r="H270" i="119"/>
  <c r="G353" i="119"/>
  <c r="H300" i="119"/>
  <c r="G323" i="119"/>
  <c r="G410" i="119"/>
  <c r="H410" i="119" s="1"/>
  <c r="N410" i="119" s="1"/>
  <c r="H357" i="119"/>
  <c r="N357" i="119" s="1"/>
  <c r="N300" i="119" l="1"/>
  <c r="N323" i="119" s="1"/>
  <c r="H323" i="119"/>
  <c r="G406" i="119"/>
  <c r="H353" i="119"/>
  <c r="G376" i="119"/>
  <c r="N353" i="119" l="1"/>
  <c r="N376" i="119" s="1"/>
  <c r="H376" i="119"/>
  <c r="H406" i="119"/>
  <c r="G429" i="119"/>
  <c r="N406" i="119" l="1"/>
  <c r="N429" i="119" s="1"/>
  <c r="H429" i="119"/>
  <c r="D116" i="122" l="1"/>
  <c r="D214" i="122" s="1"/>
  <c r="D312" i="122" s="1"/>
  <c r="D410" i="122" s="1"/>
  <c r="D508" i="122" s="1"/>
  <c r="D606" i="122" s="1"/>
  <c r="D113" i="122"/>
  <c r="D211" i="122" s="1"/>
  <c r="D309" i="122" s="1"/>
  <c r="D407" i="122" s="1"/>
  <c r="D505" i="122" s="1"/>
  <c r="D603" i="122" s="1"/>
  <c r="D128" i="122"/>
  <c r="D226" i="122" s="1"/>
  <c r="D324" i="122" s="1"/>
  <c r="D422" i="122" s="1"/>
  <c r="D520" i="122" s="1"/>
  <c r="D618" i="122" s="1"/>
  <c r="C109" i="122"/>
  <c r="C207" i="122" s="1"/>
  <c r="C305" i="122" s="1"/>
  <c r="C403" i="122" s="1"/>
  <c r="C501" i="122" s="1"/>
  <c r="C599" i="122" s="1"/>
  <c r="C126" i="122"/>
  <c r="C224" i="122" s="1"/>
  <c r="C322" i="122" s="1"/>
  <c r="C420" i="122" s="1"/>
  <c r="C518" i="122" s="1"/>
  <c r="C616" i="122" s="1"/>
  <c r="G103" i="122"/>
  <c r="E120" i="122"/>
  <c r="E218" i="122" s="1"/>
  <c r="E316" i="122" s="1"/>
  <c r="E414" i="122" s="1"/>
  <c r="E512" i="122" s="1"/>
  <c r="E610" i="122" s="1"/>
  <c r="E125" i="122"/>
  <c r="E223" i="122" s="1"/>
  <c r="E321" i="122" s="1"/>
  <c r="E419" i="122" s="1"/>
  <c r="E517" i="122" s="1"/>
  <c r="E615" i="122" s="1"/>
  <c r="C121" i="122"/>
  <c r="C219" i="122" s="1"/>
  <c r="C317" i="122" s="1"/>
  <c r="C415" i="122" s="1"/>
  <c r="C513" i="122" s="1"/>
  <c r="C611" i="122" s="1"/>
  <c r="E112" i="122"/>
  <c r="E210" i="122" s="1"/>
  <c r="E308" i="122" s="1"/>
  <c r="E406" i="122" s="1"/>
  <c r="E504" i="122" s="1"/>
  <c r="E602" i="122" s="1"/>
  <c r="D122" i="122"/>
  <c r="D220" i="122" s="1"/>
  <c r="D318" i="122" s="1"/>
  <c r="D416" i="122" s="1"/>
  <c r="D514" i="122" s="1"/>
  <c r="D612" i="122" s="1"/>
  <c r="D121" i="122"/>
  <c r="D219" i="122" s="1"/>
  <c r="D317" i="122" s="1"/>
  <c r="D415" i="122" s="1"/>
  <c r="D513" i="122" s="1"/>
  <c r="D611" i="122" s="1"/>
  <c r="E127" i="122"/>
  <c r="E225" i="122" s="1"/>
  <c r="E323" i="122" s="1"/>
  <c r="E421" i="122" s="1"/>
  <c r="E519" i="122" s="1"/>
  <c r="E617" i="122" s="1"/>
  <c r="D110" i="122"/>
  <c r="D208" i="122" s="1"/>
  <c r="D306" i="122" s="1"/>
  <c r="D404" i="122" s="1"/>
  <c r="D502" i="122" s="1"/>
  <c r="D600" i="122" s="1"/>
  <c r="D109" i="122"/>
  <c r="D207" i="122" s="1"/>
  <c r="D305" i="122" s="1"/>
  <c r="D403" i="122" s="1"/>
  <c r="D501" i="122" s="1"/>
  <c r="D599" i="122" s="1"/>
  <c r="D126" i="122"/>
  <c r="D224" i="122" s="1"/>
  <c r="D322" i="122" s="1"/>
  <c r="D420" i="122" s="1"/>
  <c r="D518" i="122" s="1"/>
  <c r="D616" i="122" s="1"/>
  <c r="C113" i="122"/>
  <c r="C211" i="122" s="1"/>
  <c r="C309" i="122" s="1"/>
  <c r="C407" i="122" s="1"/>
  <c r="C505" i="122" s="1"/>
  <c r="C603" i="122" s="1"/>
  <c r="G121" i="122"/>
  <c r="O23" i="122"/>
  <c r="P23" i="122" s="1"/>
  <c r="H23" i="122"/>
  <c r="C128" i="122"/>
  <c r="C226" i="122" s="1"/>
  <c r="C324" i="122" s="1"/>
  <c r="C422" i="122" s="1"/>
  <c r="C520" i="122" s="1"/>
  <c r="C618" i="122" s="1"/>
  <c r="E108" i="122"/>
  <c r="E206" i="122" s="1"/>
  <c r="E304" i="122" s="1"/>
  <c r="E402" i="122" s="1"/>
  <c r="E500" i="122" s="1"/>
  <c r="E598" i="122" s="1"/>
  <c r="D123" i="122"/>
  <c r="D221" i="122" s="1"/>
  <c r="D319" i="122" s="1"/>
  <c r="D417" i="122" s="1"/>
  <c r="D515" i="122" s="1"/>
  <c r="D613" i="122" s="1"/>
  <c r="D111" i="122"/>
  <c r="D209" i="122" s="1"/>
  <c r="D307" i="122" s="1"/>
  <c r="D405" i="122" s="1"/>
  <c r="D503" i="122" s="1"/>
  <c r="D601" i="122" s="1"/>
  <c r="C111" i="122"/>
  <c r="C209" i="122" s="1"/>
  <c r="C307" i="122" s="1"/>
  <c r="C405" i="122" s="1"/>
  <c r="C503" i="122" s="1"/>
  <c r="C601" i="122" s="1"/>
  <c r="C129" i="122"/>
  <c r="C227" i="122" s="1"/>
  <c r="C325" i="122" s="1"/>
  <c r="C423" i="122" s="1"/>
  <c r="C521" i="122" s="1"/>
  <c r="C619" i="122" s="1"/>
  <c r="D74" i="119" l="1"/>
  <c r="D127" i="119" s="1"/>
  <c r="D180" i="119" s="1"/>
  <c r="D233" i="119" s="1"/>
  <c r="D286" i="119" s="1"/>
  <c r="D339" i="119" s="1"/>
  <c r="D392" i="119" s="1"/>
  <c r="D73" i="119"/>
  <c r="D126" i="119" s="1"/>
  <c r="D179" i="119" s="1"/>
  <c r="D232" i="119" s="1"/>
  <c r="D285" i="119" s="1"/>
  <c r="D338" i="119" s="1"/>
  <c r="D391" i="119" s="1"/>
  <c r="C85" i="119"/>
  <c r="C138" i="119" s="1"/>
  <c r="C191" i="119" s="1"/>
  <c r="C244" i="119" s="1"/>
  <c r="C297" i="119" s="1"/>
  <c r="C350" i="119" s="1"/>
  <c r="C403" i="119" s="1"/>
  <c r="C65" i="119"/>
  <c r="C118" i="119" s="1"/>
  <c r="C171" i="119" s="1"/>
  <c r="C224" i="119" s="1"/>
  <c r="C277" i="119" s="1"/>
  <c r="C330" i="119" s="1"/>
  <c r="C383" i="119" s="1"/>
  <c r="C64" i="119"/>
  <c r="C117" i="119" s="1"/>
  <c r="C170" i="119" s="1"/>
  <c r="C223" i="119" s="1"/>
  <c r="C276" i="119" s="1"/>
  <c r="C329" i="119" s="1"/>
  <c r="C382" i="119" s="1"/>
  <c r="E67" i="119"/>
  <c r="E120" i="119" s="1"/>
  <c r="E173" i="119" s="1"/>
  <c r="E226" i="119" s="1"/>
  <c r="E279" i="119" s="1"/>
  <c r="E332" i="119" s="1"/>
  <c r="E385" i="119" s="1"/>
  <c r="C79" i="119"/>
  <c r="C132" i="119" s="1"/>
  <c r="C185" i="119" s="1"/>
  <c r="C238" i="119" s="1"/>
  <c r="C291" i="119" s="1"/>
  <c r="C344" i="119" s="1"/>
  <c r="C397" i="119" s="1"/>
  <c r="C78" i="119"/>
  <c r="C131" i="119" s="1"/>
  <c r="C184" i="119" s="1"/>
  <c r="C237" i="119" s="1"/>
  <c r="C290" i="119" s="1"/>
  <c r="C343" i="119" s="1"/>
  <c r="C396" i="119" s="1"/>
  <c r="E63" i="119"/>
  <c r="E116" i="119" s="1"/>
  <c r="E169" i="119" s="1"/>
  <c r="E222" i="119" s="1"/>
  <c r="E275" i="119" s="1"/>
  <c r="E328" i="119" s="1"/>
  <c r="E381" i="119" s="1"/>
  <c r="E77" i="119"/>
  <c r="E130" i="119" s="1"/>
  <c r="E183" i="119" s="1"/>
  <c r="E236" i="119" s="1"/>
  <c r="E289" i="119" s="1"/>
  <c r="E342" i="119" s="1"/>
  <c r="E395" i="119" s="1"/>
  <c r="E84" i="119"/>
  <c r="E137" i="119" s="1"/>
  <c r="E190" i="119" s="1"/>
  <c r="E243" i="119" s="1"/>
  <c r="E296" i="119" s="1"/>
  <c r="E349" i="119" s="1"/>
  <c r="E402" i="119" s="1"/>
  <c r="D85" i="119"/>
  <c r="D138" i="119" s="1"/>
  <c r="D191" i="119" s="1"/>
  <c r="D244" i="119" s="1"/>
  <c r="D297" i="119" s="1"/>
  <c r="D350" i="119" s="1"/>
  <c r="D403" i="119" s="1"/>
  <c r="D64" i="119"/>
  <c r="D117" i="119" s="1"/>
  <c r="D170" i="119" s="1"/>
  <c r="D223" i="119" s="1"/>
  <c r="D276" i="119" s="1"/>
  <c r="D329" i="119" s="1"/>
  <c r="D382" i="119" s="1"/>
  <c r="C68" i="119"/>
  <c r="C121" i="119" s="1"/>
  <c r="C174" i="119" s="1"/>
  <c r="C227" i="119" s="1"/>
  <c r="C280" i="119" s="1"/>
  <c r="C333" i="119" s="1"/>
  <c r="C386" i="119" s="1"/>
  <c r="E72" i="119"/>
  <c r="E125" i="119" s="1"/>
  <c r="E178" i="119" s="1"/>
  <c r="E231" i="119" s="1"/>
  <c r="E284" i="119" s="1"/>
  <c r="E337" i="119" s="1"/>
  <c r="E390" i="119" s="1"/>
  <c r="D78" i="119"/>
  <c r="D131" i="119" s="1"/>
  <c r="D184" i="119" s="1"/>
  <c r="D237" i="119" s="1"/>
  <c r="D290" i="119" s="1"/>
  <c r="D343" i="119" s="1"/>
  <c r="D396" i="119" s="1"/>
  <c r="D68" i="119"/>
  <c r="D121" i="119" s="1"/>
  <c r="D174" i="119" s="1"/>
  <c r="D227" i="119" s="1"/>
  <c r="D280" i="119" s="1"/>
  <c r="D333" i="119" s="1"/>
  <c r="D386" i="119" s="1"/>
  <c r="C73" i="119"/>
  <c r="C126" i="119" s="1"/>
  <c r="C179" i="119" s="1"/>
  <c r="C232" i="119" s="1"/>
  <c r="C285" i="119" s="1"/>
  <c r="C338" i="119" s="1"/>
  <c r="C391" i="119" s="1"/>
  <c r="C116" i="122"/>
  <c r="C214" i="122" s="1"/>
  <c r="C312" i="122" s="1"/>
  <c r="C410" i="122" s="1"/>
  <c r="C508" i="122" s="1"/>
  <c r="C606" i="122" s="1"/>
  <c r="G219" i="122"/>
  <c r="O121" i="122"/>
  <c r="P121" i="122" s="1"/>
  <c r="H121" i="122"/>
  <c r="D129" i="122"/>
  <c r="D227" i="122" s="1"/>
  <c r="D325" i="122" s="1"/>
  <c r="D423" i="122" s="1"/>
  <c r="D521" i="122" s="1"/>
  <c r="D619" i="122" s="1"/>
  <c r="C110" i="122"/>
  <c r="C208" i="122" s="1"/>
  <c r="C306" i="122" s="1"/>
  <c r="C404" i="122" s="1"/>
  <c r="C502" i="122" s="1"/>
  <c r="C600" i="122" s="1"/>
  <c r="C122" i="122"/>
  <c r="C220" i="122" s="1"/>
  <c r="C318" i="122" s="1"/>
  <c r="C416" i="122" s="1"/>
  <c r="C514" i="122" s="1"/>
  <c r="C612" i="122" s="1"/>
  <c r="G198" i="122"/>
  <c r="G201" i="122" s="1"/>
  <c r="H100" i="122"/>
  <c r="N100" i="122" s="1"/>
  <c r="N23" i="122"/>
  <c r="N103" i="122" s="1"/>
  <c r="H103" i="122"/>
  <c r="D69" i="119"/>
  <c r="D122" i="119" s="1"/>
  <c r="D175" i="119" s="1"/>
  <c r="D228" i="119" s="1"/>
  <c r="D281" i="119" s="1"/>
  <c r="D334" i="119" s="1"/>
  <c r="D387" i="119" s="1"/>
  <c r="D130" i="122"/>
  <c r="D228" i="122" s="1"/>
  <c r="D326" i="122" s="1"/>
  <c r="D424" i="122" s="1"/>
  <c r="D522" i="122" s="1"/>
  <c r="D620" i="122" s="1"/>
  <c r="C130" i="122"/>
  <c r="C228" i="122" s="1"/>
  <c r="C326" i="122" s="1"/>
  <c r="C424" i="122" s="1"/>
  <c r="C522" i="122" s="1"/>
  <c r="C620" i="122" s="1"/>
  <c r="D124" i="122"/>
  <c r="D222" i="122" s="1"/>
  <c r="D320" i="122" s="1"/>
  <c r="D418" i="122" s="1"/>
  <c r="D516" i="122" s="1"/>
  <c r="D614" i="122" s="1"/>
  <c r="C66" i="119"/>
  <c r="C119" i="119" s="1"/>
  <c r="C172" i="119" s="1"/>
  <c r="C225" i="119" s="1"/>
  <c r="C278" i="119" s="1"/>
  <c r="C331" i="119" s="1"/>
  <c r="C384" i="119" s="1"/>
  <c r="C80" i="119"/>
  <c r="C133" i="119" s="1"/>
  <c r="C186" i="119" s="1"/>
  <c r="C239" i="119" s="1"/>
  <c r="C292" i="119" s="1"/>
  <c r="C345" i="119" s="1"/>
  <c r="C398" i="119" s="1"/>
  <c r="D75" i="119"/>
  <c r="D128" i="119" s="1"/>
  <c r="D181" i="119" s="1"/>
  <c r="D234" i="119" s="1"/>
  <c r="D287" i="119" s="1"/>
  <c r="D340" i="119" s="1"/>
  <c r="D393" i="119" s="1"/>
  <c r="D79" i="119"/>
  <c r="D132" i="119" s="1"/>
  <c r="D185" i="119" s="1"/>
  <c r="D238" i="119" s="1"/>
  <c r="D291" i="119" s="1"/>
  <c r="D344" i="119" s="1"/>
  <c r="D397" i="119" s="1"/>
  <c r="D70" i="119"/>
  <c r="D123" i="119" s="1"/>
  <c r="D176" i="119" s="1"/>
  <c r="D229" i="119" s="1"/>
  <c r="D282" i="119" s="1"/>
  <c r="D335" i="119" s="1"/>
  <c r="D388" i="119" s="1"/>
  <c r="D65" i="119"/>
  <c r="D118" i="119" s="1"/>
  <c r="D171" i="119" s="1"/>
  <c r="D224" i="119" s="1"/>
  <c r="D277" i="119" s="1"/>
  <c r="D330" i="119" s="1"/>
  <c r="D383" i="119" s="1"/>
  <c r="C69" i="119"/>
  <c r="C122" i="119" s="1"/>
  <c r="C175" i="119" s="1"/>
  <c r="C228" i="119" s="1"/>
  <c r="C281" i="119" s="1"/>
  <c r="C334" i="119" s="1"/>
  <c r="C387" i="119" s="1"/>
  <c r="C74" i="119"/>
  <c r="C127" i="119" s="1"/>
  <c r="C180" i="119" s="1"/>
  <c r="C233" i="119" s="1"/>
  <c r="C286" i="119" s="1"/>
  <c r="C339" i="119" s="1"/>
  <c r="C392" i="119" s="1"/>
  <c r="N121" i="122" l="1"/>
  <c r="C123" i="122"/>
  <c r="C221" i="122" s="1"/>
  <c r="C319" i="122" s="1"/>
  <c r="C417" i="122" s="1"/>
  <c r="C515" i="122" s="1"/>
  <c r="C613" i="122" s="1"/>
  <c r="G317" i="122"/>
  <c r="H219" i="122"/>
  <c r="G296" i="122"/>
  <c r="G299" i="122" s="1"/>
  <c r="H198" i="122"/>
  <c r="N198" i="122" s="1"/>
  <c r="C124" i="122"/>
  <c r="C222" i="122" s="1"/>
  <c r="C320" i="122" s="1"/>
  <c r="C418" i="122" s="1"/>
  <c r="C516" i="122" s="1"/>
  <c r="C614" i="122" s="1"/>
  <c r="D131" i="122"/>
  <c r="D229" i="122" s="1"/>
  <c r="D327" i="122" s="1"/>
  <c r="D425" i="122" s="1"/>
  <c r="D523" i="122" s="1"/>
  <c r="D621" i="122" s="1"/>
  <c r="C131" i="122"/>
  <c r="C229" i="122" s="1"/>
  <c r="C327" i="122" s="1"/>
  <c r="C425" i="122" s="1"/>
  <c r="C523" i="122" s="1"/>
  <c r="C621" i="122" s="1"/>
  <c r="C81" i="119"/>
  <c r="C134" i="119" s="1"/>
  <c r="C187" i="119" s="1"/>
  <c r="C240" i="119" s="1"/>
  <c r="C293" i="119" s="1"/>
  <c r="C346" i="119" s="1"/>
  <c r="C399" i="119" s="1"/>
  <c r="C75" i="119"/>
  <c r="C128" i="119" s="1"/>
  <c r="C181" i="119" s="1"/>
  <c r="C234" i="119" s="1"/>
  <c r="C287" i="119" s="1"/>
  <c r="C340" i="119" s="1"/>
  <c r="C393" i="119" s="1"/>
  <c r="D76" i="119"/>
  <c r="D129" i="119" s="1"/>
  <c r="D182" i="119" s="1"/>
  <c r="D235" i="119" s="1"/>
  <c r="D288" i="119" s="1"/>
  <c r="D341" i="119" s="1"/>
  <c r="D394" i="119" s="1"/>
  <c r="D80" i="119"/>
  <c r="D133" i="119" s="1"/>
  <c r="D186" i="119" s="1"/>
  <c r="D239" i="119" s="1"/>
  <c r="D292" i="119" s="1"/>
  <c r="D345" i="119" s="1"/>
  <c r="D398" i="119" s="1"/>
  <c r="C70" i="119"/>
  <c r="C123" i="119" s="1"/>
  <c r="C176" i="119" s="1"/>
  <c r="C229" i="119" s="1"/>
  <c r="C282" i="119" s="1"/>
  <c r="C335" i="119" s="1"/>
  <c r="C388" i="119" s="1"/>
  <c r="D71" i="119"/>
  <c r="D124" i="119" s="1"/>
  <c r="D177" i="119" s="1"/>
  <c r="D230" i="119" s="1"/>
  <c r="D283" i="119" s="1"/>
  <c r="D336" i="119" s="1"/>
  <c r="D389" i="119" s="1"/>
  <c r="D66" i="119"/>
  <c r="D119" i="119" s="1"/>
  <c r="D172" i="119" s="1"/>
  <c r="D225" i="119" s="1"/>
  <c r="D278" i="119" s="1"/>
  <c r="D331" i="119" s="1"/>
  <c r="D384" i="119" s="1"/>
  <c r="H201" i="122" l="1"/>
  <c r="N219" i="122"/>
  <c r="G415" i="122"/>
  <c r="H317" i="122"/>
  <c r="G394" i="122"/>
  <c r="H296" i="122"/>
  <c r="N296" i="122" s="1"/>
  <c r="N201" i="122"/>
  <c r="D132" i="122"/>
  <c r="D230" i="122" s="1"/>
  <c r="D328" i="122" s="1"/>
  <c r="D426" i="122" s="1"/>
  <c r="D524" i="122" s="1"/>
  <c r="D622" i="122" s="1"/>
  <c r="C132" i="122"/>
  <c r="C230" i="122" s="1"/>
  <c r="C328" i="122" s="1"/>
  <c r="C426" i="122" s="1"/>
  <c r="C524" i="122" s="1"/>
  <c r="C622" i="122" s="1"/>
  <c r="C82" i="119"/>
  <c r="C135" i="119" s="1"/>
  <c r="C188" i="119" s="1"/>
  <c r="C241" i="119" s="1"/>
  <c r="C294" i="119" s="1"/>
  <c r="C347" i="119" s="1"/>
  <c r="C400" i="119" s="1"/>
  <c r="D81" i="119"/>
  <c r="D134" i="119" s="1"/>
  <c r="D187" i="119" s="1"/>
  <c r="D240" i="119" s="1"/>
  <c r="D293" i="119" s="1"/>
  <c r="D346" i="119" s="1"/>
  <c r="D399" i="119" s="1"/>
  <c r="C76" i="119"/>
  <c r="C129" i="119" s="1"/>
  <c r="C182" i="119" s="1"/>
  <c r="C235" i="119" s="1"/>
  <c r="C288" i="119" s="1"/>
  <c r="C341" i="119" s="1"/>
  <c r="C394" i="119" s="1"/>
  <c r="C71" i="119"/>
  <c r="C124" i="119" s="1"/>
  <c r="C177" i="119" s="1"/>
  <c r="C230" i="119" s="1"/>
  <c r="C283" i="119" s="1"/>
  <c r="C336" i="119" s="1"/>
  <c r="C389" i="119" s="1"/>
  <c r="H299" i="122" l="1"/>
  <c r="N299" i="122"/>
  <c r="G492" i="122"/>
  <c r="G495" i="122" s="1"/>
  <c r="H394" i="122"/>
  <c r="N394" i="122" s="1"/>
  <c r="G397" i="122"/>
  <c r="N317" i="122"/>
  <c r="N397" i="122" s="1"/>
  <c r="H397" i="122"/>
  <c r="G513" i="122"/>
  <c r="H415" i="122"/>
  <c r="D133" i="122"/>
  <c r="D231" i="122" s="1"/>
  <c r="D329" i="122" s="1"/>
  <c r="D427" i="122" s="1"/>
  <c r="D525" i="122" s="1"/>
  <c r="D623" i="122" s="1"/>
  <c r="C133" i="122"/>
  <c r="C231" i="122" s="1"/>
  <c r="C329" i="122" s="1"/>
  <c r="C427" i="122" s="1"/>
  <c r="C525" i="122" s="1"/>
  <c r="C623" i="122" s="1"/>
  <c r="D82" i="119"/>
  <c r="D135" i="119" s="1"/>
  <c r="D188" i="119" s="1"/>
  <c r="D241" i="119" s="1"/>
  <c r="D294" i="119" s="1"/>
  <c r="D347" i="119" s="1"/>
  <c r="D400" i="119" s="1"/>
  <c r="C83" i="119"/>
  <c r="C136" i="119" s="1"/>
  <c r="C189" i="119" s="1"/>
  <c r="C242" i="119" s="1"/>
  <c r="C295" i="119" s="1"/>
  <c r="C348" i="119" s="1"/>
  <c r="C401" i="119" s="1"/>
  <c r="N415" i="122" l="1"/>
  <c r="G611" i="122"/>
  <c r="H513" i="122"/>
  <c r="G593" i="122"/>
  <c r="G590" i="122"/>
  <c r="H492" i="122"/>
  <c r="N492" i="122" s="1"/>
  <c r="D134" i="122"/>
  <c r="D232" i="122" s="1"/>
  <c r="D330" i="122" s="1"/>
  <c r="D428" i="122" s="1"/>
  <c r="D526" i="122" s="1"/>
  <c r="D624" i="122" s="1"/>
  <c r="C134" i="122"/>
  <c r="C232" i="122" s="1"/>
  <c r="C330" i="122" s="1"/>
  <c r="C428" i="122" s="1"/>
  <c r="C526" i="122" s="1"/>
  <c r="C624" i="122" s="1"/>
  <c r="D83" i="119"/>
  <c r="D136" i="119" s="1"/>
  <c r="D189" i="119" s="1"/>
  <c r="D242" i="119" s="1"/>
  <c r="D295" i="119" s="1"/>
  <c r="D348" i="119" s="1"/>
  <c r="D401" i="119" s="1"/>
  <c r="G688" i="122" l="1"/>
  <c r="H688" i="122" s="1"/>
  <c r="N688" i="122" s="1"/>
  <c r="H590" i="122"/>
  <c r="N590" i="122" s="1"/>
  <c r="N513" i="122"/>
  <c r="N593" i="122" s="1"/>
  <c r="H593" i="122"/>
  <c r="H611" i="122"/>
  <c r="G691" i="122"/>
  <c r="H495" i="122"/>
  <c r="N495" i="122"/>
  <c r="D135" i="122"/>
  <c r="D233" i="122" s="1"/>
  <c r="D331" i="122" s="1"/>
  <c r="D429" i="122" s="1"/>
  <c r="D527" i="122" s="1"/>
  <c r="D625" i="122" s="1"/>
  <c r="C135" i="122"/>
  <c r="C233" i="122" s="1"/>
  <c r="C331" i="122" s="1"/>
  <c r="C429" i="122" s="1"/>
  <c r="C527" i="122" s="1"/>
  <c r="C625" i="122" s="1"/>
  <c r="N611" i="122" l="1"/>
  <c r="N691" i="122" s="1"/>
  <c r="H691" i="122"/>
  <c r="D136" i="122"/>
  <c r="D234" i="122" s="1"/>
  <c r="D332" i="122" s="1"/>
  <c r="D430" i="122" s="1"/>
  <c r="D528" i="122" s="1"/>
  <c r="D626" i="122" s="1"/>
  <c r="C136" i="122"/>
  <c r="C234" i="122" s="1"/>
  <c r="C332" i="122" s="1"/>
  <c r="C430" i="122" s="1"/>
  <c r="C528" i="122" s="1"/>
  <c r="C626" i="122" s="1"/>
  <c r="D137" i="122" l="1"/>
  <c r="D235" i="122" s="1"/>
  <c r="D333" i="122" s="1"/>
  <c r="D431" i="122" s="1"/>
  <c r="D529" i="122" s="1"/>
  <c r="D627" i="122" s="1"/>
  <c r="C137" i="122"/>
  <c r="C235" i="122" s="1"/>
  <c r="C333" i="122" s="1"/>
  <c r="C431" i="122" s="1"/>
  <c r="C529" i="122" s="1"/>
  <c r="C627" i="122" s="1"/>
  <c r="D138" i="122" l="1"/>
  <c r="D236" i="122" s="1"/>
  <c r="D334" i="122" s="1"/>
  <c r="D432" i="122" s="1"/>
  <c r="D530" i="122" s="1"/>
  <c r="D628" i="122" s="1"/>
  <c r="C138" i="122"/>
  <c r="C236" i="122" s="1"/>
  <c r="C334" i="122" s="1"/>
  <c r="C432" i="122" s="1"/>
  <c r="C530" i="122" s="1"/>
  <c r="C628" i="122" s="1"/>
  <c r="B48" i="78" l="1"/>
  <c r="B49" i="78" s="1"/>
  <c r="B50" i="78" s="1"/>
  <c r="B54" i="78" s="1"/>
  <c r="B47" i="78"/>
  <c r="B27" i="78"/>
  <c r="B22" i="78"/>
  <c r="B23" i="78"/>
  <c r="B21" i="78"/>
  <c r="B20" i="78"/>
  <c r="B8" i="76" l="1"/>
  <c r="B9" i="76" s="1"/>
  <c r="H54" i="67" l="1"/>
  <c r="H55" i="67"/>
  <c r="H56" i="67"/>
  <c r="H61" i="67"/>
  <c r="H62" i="67"/>
  <c r="H67" i="67"/>
  <c r="H68" i="67"/>
  <c r="H73" i="67"/>
  <c r="H74" i="67"/>
  <c r="F54" i="67"/>
  <c r="G54" i="67"/>
  <c r="F55" i="67"/>
  <c r="G55" i="67"/>
  <c r="F56" i="67"/>
  <c r="G56" i="67"/>
  <c r="F61" i="67"/>
  <c r="G61" i="67"/>
  <c r="F62" i="67"/>
  <c r="G62" i="67"/>
  <c r="F67" i="67"/>
  <c r="G67" i="67"/>
  <c r="F68" i="67"/>
  <c r="G68" i="67"/>
  <c r="F73" i="67"/>
  <c r="G73" i="67"/>
  <c r="F74" i="67"/>
  <c r="G74" i="67"/>
  <c r="F78" i="67"/>
  <c r="F77" i="67"/>
  <c r="H76" i="67"/>
  <c r="H75" i="67"/>
  <c r="F72" i="67"/>
  <c r="H71" i="67"/>
  <c r="F70" i="67"/>
  <c r="F69" i="67"/>
  <c r="H66" i="67"/>
  <c r="F65" i="67"/>
  <c r="F64" i="67"/>
  <c r="H63" i="67"/>
  <c r="H60" i="67"/>
  <c r="H59" i="67"/>
  <c r="F58" i="67"/>
  <c r="F57" i="67"/>
  <c r="F53" i="67"/>
  <c r="H52" i="67"/>
  <c r="H51" i="67"/>
  <c r="H50" i="67"/>
  <c r="H72" i="67" l="1"/>
  <c r="G72" i="67"/>
  <c r="G60" i="67"/>
  <c r="G59" i="67"/>
  <c r="G64" i="67"/>
  <c r="H58" i="67"/>
  <c r="G75" i="67"/>
  <c r="H64" i="67"/>
  <c r="G52" i="67"/>
  <c r="F50" i="67"/>
  <c r="G50" i="67"/>
  <c r="G63" i="67"/>
  <c r="G51" i="67"/>
  <c r="G76" i="67"/>
  <c r="F76" i="67"/>
  <c r="G71" i="67"/>
  <c r="F60" i="67"/>
  <c r="F52" i="67"/>
  <c r="H65" i="67"/>
  <c r="H57" i="67"/>
  <c r="F75" i="67"/>
  <c r="F71" i="67"/>
  <c r="F63" i="67"/>
  <c r="F59" i="67"/>
  <c r="F51" i="67"/>
  <c r="G78" i="67"/>
  <c r="G70" i="67"/>
  <c r="G66" i="67"/>
  <c r="G58" i="67"/>
  <c r="H78" i="67"/>
  <c r="H70" i="67"/>
  <c r="F66" i="67"/>
  <c r="H77" i="67"/>
  <c r="H69" i="67"/>
  <c r="H53" i="67"/>
  <c r="G77" i="67"/>
  <c r="G69" i="67"/>
  <c r="G65" i="67"/>
  <c r="G57" i="67"/>
  <c r="G53" i="67"/>
  <c r="H79" i="67" l="1"/>
  <c r="S16" i="79" l="1"/>
  <c r="T16" i="79"/>
  <c r="R11" i="79"/>
  <c r="S11" i="79"/>
  <c r="T11" i="79"/>
  <c r="R12" i="79"/>
  <c r="S12" i="79"/>
  <c r="T12" i="79"/>
  <c r="O65" i="71" l="1"/>
  <c r="O57" i="71"/>
  <c r="O49" i="71"/>
  <c r="L18" i="62" l="1"/>
  <c r="L19" i="62" s="1"/>
  <c r="F25" i="71" s="1"/>
  <c r="G25" i="71" l="1"/>
  <c r="D25" i="71"/>
  <c r="H25" i="71"/>
  <c r="E25" i="71"/>
  <c r="C25" i="71"/>
  <c r="E47" i="78"/>
  <c r="L47" i="78" s="1"/>
  <c r="E20" i="78"/>
  <c r="L20" i="78" s="1"/>
  <c r="G33" i="103" l="1"/>
  <c r="B12" i="58" l="1"/>
  <c r="B13" i="58" s="1"/>
  <c r="B14" i="58" s="1"/>
  <c r="B15" i="58" s="1"/>
  <c r="B16" i="58" s="1"/>
  <c r="B17" i="58" s="1"/>
  <c r="B18" i="58" s="1"/>
  <c r="B19" i="58" s="1"/>
  <c r="B20" i="58" s="1"/>
  <c r="B21" i="58" s="1"/>
  <c r="B22" i="58" s="1"/>
  <c r="B23" i="58" s="1"/>
  <c r="B24" i="58" s="1"/>
  <c r="B25" i="58" s="1"/>
  <c r="B26" i="58" s="1"/>
  <c r="B27" i="58" s="1"/>
  <c r="B28" i="58" s="1"/>
  <c r="B29" i="58" s="1"/>
  <c r="B30" i="58" s="1"/>
  <c r="K15" i="65" l="1"/>
  <c r="E40" i="78"/>
  <c r="D40" i="78" s="1"/>
  <c r="E12" i="78"/>
  <c r="D12" i="78"/>
  <c r="E13" i="78"/>
  <c r="D13" i="78" s="1"/>
  <c r="W12" i="66"/>
  <c r="P15" i="65"/>
  <c r="O15" i="65"/>
  <c r="G15" i="65"/>
  <c r="H15" i="65" s="1"/>
  <c r="E23" i="65"/>
  <c r="F23" i="65" s="1"/>
  <c r="I19" i="65"/>
  <c r="H19" i="65"/>
  <c r="G19" i="65"/>
  <c r="F19" i="65"/>
  <c r="E19" i="65"/>
  <c r="Q16" i="65"/>
  <c r="R16" i="65" s="1"/>
  <c r="L16" i="65"/>
  <c r="H16" i="65"/>
  <c r="B11" i="65"/>
  <c r="B12" i="65" s="1"/>
  <c r="B13" i="65" s="1"/>
  <c r="B14" i="65" s="1"/>
  <c r="B15" i="65" s="1"/>
  <c r="B16" i="65" s="1"/>
  <c r="B17" i="65" s="1"/>
  <c r="Q15" i="65" l="1"/>
  <c r="E24" i="65"/>
  <c r="W16" i="66"/>
  <c r="W14" i="66"/>
  <c r="W15" i="66"/>
  <c r="W13" i="66"/>
  <c r="W17" i="66" s="1"/>
  <c r="F24" i="65"/>
  <c r="G23" i="65"/>
  <c r="R15" i="65"/>
  <c r="L15" i="65"/>
  <c r="K5" i="116"/>
  <c r="K4" i="116"/>
  <c r="G24" i="65" l="1"/>
  <c r="H23" i="65"/>
  <c r="H24" i="65" l="1"/>
  <c r="I23" i="65"/>
  <c r="I24" i="65" s="1"/>
  <c r="O86" i="70"/>
  <c r="Q54" i="91" l="1"/>
  <c r="Q55" i="91"/>
  <c r="S11" i="58"/>
  <c r="U11" i="58"/>
  <c r="V11" i="58"/>
  <c r="W11" i="58"/>
  <c r="U24" i="58"/>
  <c r="V24" i="58"/>
  <c r="W24" i="58"/>
  <c r="V111" i="116" l="1"/>
  <c r="Q111" i="116"/>
  <c r="L111" i="116"/>
  <c r="G111" i="116"/>
  <c r="V110" i="116"/>
  <c r="Q110" i="116"/>
  <c r="L110" i="116"/>
  <c r="G110" i="116"/>
  <c r="V109" i="116"/>
  <c r="Q109" i="116"/>
  <c r="L109" i="116"/>
  <c r="G109" i="116"/>
  <c r="V108" i="116"/>
  <c r="Q108" i="116"/>
  <c r="L108" i="116"/>
  <c r="G108" i="116"/>
  <c r="V107" i="116"/>
  <c r="Q107" i="116"/>
  <c r="L107" i="116"/>
  <c r="G107" i="116"/>
  <c r="V106" i="116"/>
  <c r="Q106" i="116"/>
  <c r="L106" i="116"/>
  <c r="G106" i="116"/>
  <c r="V105" i="116"/>
  <c r="Q105" i="116"/>
  <c r="L105" i="116"/>
  <c r="G105" i="116"/>
  <c r="V104" i="116"/>
  <c r="Q104" i="116"/>
  <c r="L104" i="116"/>
  <c r="G104" i="116"/>
  <c r="V103" i="116"/>
  <c r="Q103" i="116"/>
  <c r="L103" i="116"/>
  <c r="G103" i="116"/>
  <c r="V102" i="116"/>
  <c r="Q102" i="116"/>
  <c r="L102" i="116"/>
  <c r="G102" i="116"/>
  <c r="V101" i="116"/>
  <c r="Q101" i="116"/>
  <c r="L101" i="116"/>
  <c r="G101" i="116"/>
  <c r="V100" i="116"/>
  <c r="Q100" i="116"/>
  <c r="L100" i="116"/>
  <c r="G100" i="116"/>
  <c r="V99" i="116"/>
  <c r="Q99" i="116"/>
  <c r="L99" i="116"/>
  <c r="G99" i="116"/>
  <c r="V98" i="116"/>
  <c r="Q98" i="116"/>
  <c r="L98" i="116"/>
  <c r="G98" i="116"/>
  <c r="V97" i="116"/>
  <c r="Q97" i="116"/>
  <c r="L97" i="116"/>
  <c r="G97" i="116"/>
  <c r="V96" i="116"/>
  <c r="Q96" i="116"/>
  <c r="L96" i="116"/>
  <c r="G96" i="116"/>
  <c r="V95" i="116"/>
  <c r="Q95" i="116"/>
  <c r="L95" i="116"/>
  <c r="G95" i="116"/>
  <c r="V84" i="116"/>
  <c r="V83" i="116"/>
  <c r="V82" i="116"/>
  <c r="V81" i="116"/>
  <c r="V80" i="116"/>
  <c r="V79" i="116"/>
  <c r="V78" i="116"/>
  <c r="V77" i="116"/>
  <c r="V76" i="116"/>
  <c r="V75" i="116"/>
  <c r="V74" i="116"/>
  <c r="V73" i="116"/>
  <c r="V72" i="116"/>
  <c r="V71" i="116"/>
  <c r="V70" i="116"/>
  <c r="V69" i="116"/>
  <c r="V68" i="116"/>
  <c r="V56" i="116"/>
  <c r="Q56" i="116"/>
  <c r="L56" i="116"/>
  <c r="G56" i="116"/>
  <c r="G164" i="116" s="1"/>
  <c r="V55" i="116"/>
  <c r="Q55" i="116"/>
  <c r="L55" i="116"/>
  <c r="G55" i="116"/>
  <c r="V54" i="116"/>
  <c r="Q54" i="116"/>
  <c r="L54" i="116"/>
  <c r="G54" i="116"/>
  <c r="G162" i="116" s="1"/>
  <c r="V53" i="116"/>
  <c r="Q53" i="116"/>
  <c r="L53" i="116"/>
  <c r="G53" i="116"/>
  <c r="V52" i="116"/>
  <c r="Q52" i="116"/>
  <c r="L52" i="116"/>
  <c r="G52" i="116"/>
  <c r="G160" i="116" s="1"/>
  <c r="V51" i="116"/>
  <c r="Q51" i="116"/>
  <c r="L51" i="116"/>
  <c r="G51" i="116"/>
  <c r="V50" i="116"/>
  <c r="Q50" i="116"/>
  <c r="L50" i="116"/>
  <c r="G50" i="116"/>
  <c r="V49" i="116"/>
  <c r="Q49" i="116"/>
  <c r="L49" i="116"/>
  <c r="G49" i="116"/>
  <c r="V48" i="116"/>
  <c r="Q48" i="116"/>
  <c r="L48" i="116"/>
  <c r="G48" i="116"/>
  <c r="G156" i="116" s="1"/>
  <c r="V47" i="116"/>
  <c r="Q47" i="116"/>
  <c r="L47" i="116"/>
  <c r="G47" i="116"/>
  <c r="V46" i="116"/>
  <c r="Q46" i="116"/>
  <c r="L46" i="116"/>
  <c r="G46" i="116"/>
  <c r="G154" i="116" s="1"/>
  <c r="V45" i="116"/>
  <c r="Q45" i="116"/>
  <c r="L45" i="116"/>
  <c r="G45" i="116"/>
  <c r="V44" i="116"/>
  <c r="Q44" i="116"/>
  <c r="L44" i="116"/>
  <c r="G44" i="116"/>
  <c r="G152" i="116" s="1"/>
  <c r="V43" i="116"/>
  <c r="Q43" i="116"/>
  <c r="L43" i="116"/>
  <c r="G43" i="116"/>
  <c r="V42" i="116"/>
  <c r="Q42" i="116"/>
  <c r="L42" i="116"/>
  <c r="G42" i="116"/>
  <c r="V41" i="116"/>
  <c r="Q41" i="116"/>
  <c r="L41" i="116"/>
  <c r="G41" i="116"/>
  <c r="V40" i="116"/>
  <c r="Q40" i="116"/>
  <c r="L40" i="116"/>
  <c r="G40" i="116"/>
  <c r="G148" i="116" s="1"/>
  <c r="V30" i="116"/>
  <c r="V29" i="116"/>
  <c r="V28" i="116"/>
  <c r="V27" i="116"/>
  <c r="V26" i="116"/>
  <c r="V25" i="116"/>
  <c r="V133" i="116" s="1"/>
  <c r="V24" i="116"/>
  <c r="V23" i="116"/>
  <c r="V22" i="116"/>
  <c r="V21" i="116"/>
  <c r="V20" i="116"/>
  <c r="V19" i="116"/>
  <c r="V18" i="116"/>
  <c r="V17" i="116"/>
  <c r="V16" i="116"/>
  <c r="V15" i="116"/>
  <c r="V123" i="116" s="1"/>
  <c r="V14" i="116"/>
  <c r="V122" i="116" s="1"/>
  <c r="Q84" i="116"/>
  <c r="L84" i="116"/>
  <c r="G84" i="116"/>
  <c r="Q83" i="116"/>
  <c r="L83" i="116"/>
  <c r="G83" i="116"/>
  <c r="Q82" i="116"/>
  <c r="L82" i="116"/>
  <c r="G82" i="116"/>
  <c r="Q81" i="116"/>
  <c r="L81" i="116"/>
  <c r="G81" i="116"/>
  <c r="Q80" i="116"/>
  <c r="L80" i="116"/>
  <c r="G80" i="116"/>
  <c r="Q79" i="116"/>
  <c r="L79" i="116"/>
  <c r="G79" i="116"/>
  <c r="Q78" i="116"/>
  <c r="L78" i="116"/>
  <c r="G78" i="116"/>
  <c r="Q77" i="116"/>
  <c r="L77" i="116"/>
  <c r="G77" i="116"/>
  <c r="Q76" i="116"/>
  <c r="L76" i="116"/>
  <c r="G76" i="116"/>
  <c r="Q75" i="116"/>
  <c r="L75" i="116"/>
  <c r="G75" i="116"/>
  <c r="Q74" i="116"/>
  <c r="L74" i="116"/>
  <c r="G74" i="116"/>
  <c r="Q73" i="116"/>
  <c r="L73" i="116"/>
  <c r="G73" i="116"/>
  <c r="Q72" i="116"/>
  <c r="L72" i="116"/>
  <c r="G72" i="116"/>
  <c r="Q71" i="116"/>
  <c r="L71" i="116"/>
  <c r="G71" i="116"/>
  <c r="Q70" i="116"/>
  <c r="L70" i="116"/>
  <c r="G70" i="116"/>
  <c r="Q69" i="116"/>
  <c r="L69" i="116"/>
  <c r="G69" i="116"/>
  <c r="Q68" i="116"/>
  <c r="L68" i="116"/>
  <c r="G68" i="116"/>
  <c r="Q30" i="116"/>
  <c r="P30" i="116"/>
  <c r="O30" i="116"/>
  <c r="L30" i="116"/>
  <c r="G30" i="116"/>
  <c r="Q29" i="116"/>
  <c r="Q137" i="116" s="1"/>
  <c r="P29" i="116"/>
  <c r="O29" i="116"/>
  <c r="L29" i="116"/>
  <c r="G29" i="116"/>
  <c r="Q28" i="116"/>
  <c r="P28" i="116"/>
  <c r="O28" i="116"/>
  <c r="L28" i="116"/>
  <c r="G28" i="116"/>
  <c r="Q27" i="116"/>
  <c r="P27" i="116"/>
  <c r="O27" i="116"/>
  <c r="L27" i="116"/>
  <c r="G27" i="116"/>
  <c r="Q26" i="116"/>
  <c r="P26" i="116"/>
  <c r="O26" i="116"/>
  <c r="L26" i="116"/>
  <c r="G26" i="116"/>
  <c r="Q25" i="116"/>
  <c r="P25" i="116"/>
  <c r="O25" i="116"/>
  <c r="L25" i="116"/>
  <c r="G25" i="116"/>
  <c r="Q24" i="116"/>
  <c r="P24" i="116"/>
  <c r="O24" i="116"/>
  <c r="L24" i="116"/>
  <c r="G24" i="116"/>
  <c r="G132" i="116" s="1"/>
  <c r="Q23" i="116"/>
  <c r="P23" i="116"/>
  <c r="O23" i="116"/>
  <c r="L23" i="116"/>
  <c r="G23" i="116"/>
  <c r="Q22" i="116"/>
  <c r="P22" i="116"/>
  <c r="O22" i="116"/>
  <c r="L22" i="116"/>
  <c r="G22" i="116"/>
  <c r="Q21" i="116"/>
  <c r="P21" i="116"/>
  <c r="O21" i="116"/>
  <c r="L21" i="116"/>
  <c r="G21" i="116"/>
  <c r="Q20" i="116"/>
  <c r="P20" i="116"/>
  <c r="O20" i="116"/>
  <c r="L20" i="116"/>
  <c r="G20" i="116"/>
  <c r="Q19" i="116"/>
  <c r="P19" i="116"/>
  <c r="O19" i="116"/>
  <c r="L19" i="116"/>
  <c r="G19" i="116"/>
  <c r="Q18" i="116"/>
  <c r="P18" i="116"/>
  <c r="O18" i="116"/>
  <c r="L18" i="116"/>
  <c r="G18" i="116"/>
  <c r="Q17" i="116"/>
  <c r="P17" i="116"/>
  <c r="O17" i="116"/>
  <c r="L17" i="116"/>
  <c r="G17" i="116"/>
  <c r="Q16" i="116"/>
  <c r="P16" i="116"/>
  <c r="O16" i="116"/>
  <c r="L16" i="116"/>
  <c r="G16" i="116"/>
  <c r="G124" i="116" s="1"/>
  <c r="Q15" i="116"/>
  <c r="P15" i="116"/>
  <c r="O15" i="116"/>
  <c r="L15" i="116"/>
  <c r="G15" i="116"/>
  <c r="Q14" i="116"/>
  <c r="P14" i="116"/>
  <c r="O14" i="116"/>
  <c r="L14" i="116"/>
  <c r="G14" i="116"/>
  <c r="V165" i="116"/>
  <c r="U165" i="116"/>
  <c r="T165" i="116"/>
  <c r="Q165" i="116"/>
  <c r="P165" i="116"/>
  <c r="O165" i="116"/>
  <c r="L165" i="116"/>
  <c r="K165" i="116"/>
  <c r="J165" i="116"/>
  <c r="B149" i="116"/>
  <c r="B150" i="116" s="1"/>
  <c r="B151" i="116" s="1"/>
  <c r="B152" i="116" s="1"/>
  <c r="B153" i="116" s="1"/>
  <c r="B154" i="116" s="1"/>
  <c r="B155" i="116" s="1"/>
  <c r="B156" i="116" s="1"/>
  <c r="B157" i="116" s="1"/>
  <c r="B158" i="116" s="1"/>
  <c r="B159" i="116" s="1"/>
  <c r="B160" i="116" s="1"/>
  <c r="B161" i="116" s="1"/>
  <c r="B162" i="116" s="1"/>
  <c r="B163" i="116" s="1"/>
  <c r="B164" i="116" s="1"/>
  <c r="B123" i="116"/>
  <c r="B124" i="116" s="1"/>
  <c r="B125" i="116" s="1"/>
  <c r="B126" i="116" s="1"/>
  <c r="B127" i="116" s="1"/>
  <c r="B128" i="116" s="1"/>
  <c r="B129" i="116" s="1"/>
  <c r="B130" i="116" s="1"/>
  <c r="B131" i="116" s="1"/>
  <c r="B132" i="116" s="1"/>
  <c r="B133" i="116" s="1"/>
  <c r="B134" i="116" s="1"/>
  <c r="B135" i="116" s="1"/>
  <c r="B136" i="116" s="1"/>
  <c r="B137" i="116" s="1"/>
  <c r="B138" i="116" s="1"/>
  <c r="B96" i="116"/>
  <c r="B97" i="116" s="1"/>
  <c r="B98" i="116" s="1"/>
  <c r="B99" i="116" s="1"/>
  <c r="B100" i="116" s="1"/>
  <c r="B101" i="116" s="1"/>
  <c r="B102" i="116" s="1"/>
  <c r="B103" i="116" s="1"/>
  <c r="B104" i="116" s="1"/>
  <c r="B105" i="116" s="1"/>
  <c r="B106" i="116" s="1"/>
  <c r="B107" i="116" s="1"/>
  <c r="B108" i="116" s="1"/>
  <c r="B109" i="116" s="1"/>
  <c r="B110" i="116" s="1"/>
  <c r="B111" i="116" s="1"/>
  <c r="B69" i="116"/>
  <c r="B70" i="116" s="1"/>
  <c r="B71" i="116" s="1"/>
  <c r="B72" i="116" s="1"/>
  <c r="B73" i="116" s="1"/>
  <c r="B74" i="116" s="1"/>
  <c r="B75" i="116" s="1"/>
  <c r="B76" i="116" s="1"/>
  <c r="B77" i="116" s="1"/>
  <c r="B78" i="116" s="1"/>
  <c r="B79" i="116" s="1"/>
  <c r="B80" i="116" s="1"/>
  <c r="B81" i="116" s="1"/>
  <c r="B82" i="116" s="1"/>
  <c r="B83" i="116" s="1"/>
  <c r="B84" i="116" s="1"/>
  <c r="B41" i="116"/>
  <c r="B42" i="116" s="1"/>
  <c r="B43" i="116" s="1"/>
  <c r="B44" i="116" s="1"/>
  <c r="B45" i="116" s="1"/>
  <c r="B46" i="116" s="1"/>
  <c r="B47" i="116" s="1"/>
  <c r="B48" i="116" s="1"/>
  <c r="B49" i="116" s="1"/>
  <c r="B50" i="116" s="1"/>
  <c r="B51" i="116" s="1"/>
  <c r="B52" i="116" s="1"/>
  <c r="B53" i="116" s="1"/>
  <c r="B54" i="116" s="1"/>
  <c r="B55" i="116" s="1"/>
  <c r="B56" i="116" s="1"/>
  <c r="G134" i="116"/>
  <c r="B15" i="116"/>
  <c r="B16" i="116" s="1"/>
  <c r="B17" i="116" s="1"/>
  <c r="B18" i="116" s="1"/>
  <c r="B19" i="116" s="1"/>
  <c r="B20" i="116" s="1"/>
  <c r="B21" i="116" s="1"/>
  <c r="B22" i="116" s="1"/>
  <c r="B23" i="116" s="1"/>
  <c r="B24" i="116" s="1"/>
  <c r="B25" i="116" s="1"/>
  <c r="B26" i="116" s="1"/>
  <c r="B27" i="116" s="1"/>
  <c r="B28" i="116" s="1"/>
  <c r="B29" i="116" s="1"/>
  <c r="B30" i="116" s="1"/>
  <c r="Q126" i="116" l="1"/>
  <c r="Q134" i="116"/>
  <c r="Q123" i="116"/>
  <c r="Q131" i="116"/>
  <c r="Q133" i="116"/>
  <c r="Q128" i="116"/>
  <c r="Q136" i="116"/>
  <c r="L125" i="116"/>
  <c r="L133" i="116"/>
  <c r="V130" i="116"/>
  <c r="V138" i="116"/>
  <c r="L131" i="116"/>
  <c r="L124" i="116"/>
  <c r="L132" i="116"/>
  <c r="V128" i="116"/>
  <c r="L135" i="116"/>
  <c r="G131" i="116"/>
  <c r="L112" i="116"/>
  <c r="G135" i="116"/>
  <c r="G128" i="116"/>
  <c r="Q130" i="116"/>
  <c r="Q129" i="116"/>
  <c r="G127" i="116"/>
  <c r="L130" i="116"/>
  <c r="Q132" i="116"/>
  <c r="G123" i="116"/>
  <c r="Q127" i="116"/>
  <c r="V126" i="116"/>
  <c r="V134" i="116"/>
  <c r="V129" i="116"/>
  <c r="V137" i="116"/>
  <c r="L134" i="116"/>
  <c r="L129" i="116"/>
  <c r="V135" i="116"/>
  <c r="G149" i="116"/>
  <c r="G151" i="116"/>
  <c r="G153" i="116"/>
  <c r="G155" i="116"/>
  <c r="G157" i="116"/>
  <c r="G161" i="116"/>
  <c r="G163" i="116"/>
  <c r="G85" i="116"/>
  <c r="G129" i="116"/>
  <c r="L137" i="116"/>
  <c r="Q124" i="116"/>
  <c r="Q135" i="116"/>
  <c r="Q85" i="116"/>
  <c r="L136" i="116"/>
  <c r="G130" i="116"/>
  <c r="G138" i="116"/>
  <c r="G137" i="116"/>
  <c r="V124" i="116"/>
  <c r="G125" i="116"/>
  <c r="G133" i="116"/>
  <c r="G136" i="116"/>
  <c r="G126" i="116"/>
  <c r="V127" i="116"/>
  <c r="V131" i="116"/>
  <c r="O31" i="116"/>
  <c r="Q57" i="116"/>
  <c r="L57" i="116"/>
  <c r="V85" i="116"/>
  <c r="L85" i="116"/>
  <c r="L138" i="116"/>
  <c r="G122" i="116"/>
  <c r="G31" i="116"/>
  <c r="L127" i="116"/>
  <c r="Q138" i="116"/>
  <c r="Q122" i="116"/>
  <c r="Q31" i="116"/>
  <c r="L123" i="116"/>
  <c r="G57" i="116"/>
  <c r="G112" i="116"/>
  <c r="V136" i="116"/>
  <c r="V125" i="116"/>
  <c r="P31" i="116"/>
  <c r="G150" i="116"/>
  <c r="L122" i="116"/>
  <c r="L31" i="116"/>
  <c r="L126" i="116"/>
  <c r="L128" i="116"/>
  <c r="V31" i="116"/>
  <c r="V57" i="116"/>
  <c r="Q112" i="116"/>
  <c r="Q125" i="116"/>
  <c r="V132" i="116"/>
  <c r="G159" i="116"/>
  <c r="G158" i="116"/>
  <c r="V112" i="116"/>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G139" i="116" l="1"/>
  <c r="G165" i="116"/>
  <c r="V139" i="116"/>
  <c r="L139" i="116"/>
  <c r="Q139" i="116"/>
  <c r="H3" i="109"/>
  <c r="C2" i="108"/>
  <c r="E2" i="107"/>
  <c r="C2" i="114"/>
  <c r="F2" i="113"/>
  <c r="B2" i="112"/>
  <c r="H3" i="110"/>
  <c r="G2" i="111"/>
  <c r="L2" i="108"/>
  <c r="L2" i="109"/>
  <c r="L2" i="112"/>
  <c r="L2" i="115"/>
  <c r="T39" i="115"/>
  <c r="B4" i="106" l="1"/>
  <c r="B2" i="106"/>
  <c r="B9" i="106"/>
  <c r="B10" i="106" s="1"/>
  <c r="B11" i="106" s="1"/>
  <c r="B12" i="106" s="1"/>
  <c r="B13" i="106" s="1"/>
  <c r="B14" i="106" s="1"/>
  <c r="B15" i="106" s="1"/>
  <c r="B16" i="106" s="1"/>
  <c r="B17" i="106" s="1"/>
  <c r="B18" i="106" s="1"/>
  <c r="B19" i="106" s="1"/>
  <c r="B20" i="106" s="1"/>
  <c r="B5" i="105"/>
  <c r="B2" i="105"/>
  <c r="B15" i="105"/>
  <c r="P5" i="103" l="1"/>
  <c r="P4" i="103"/>
  <c r="AA87" i="103"/>
  <c r="V87" i="103"/>
  <c r="Q87" i="103"/>
  <c r="L87" i="103"/>
  <c r="G87" i="103"/>
  <c r="B71" i="103"/>
  <c r="B72" i="103" s="1"/>
  <c r="B73" i="103" s="1"/>
  <c r="B74" i="103" s="1"/>
  <c r="B75" i="103" s="1"/>
  <c r="B76" i="103" s="1"/>
  <c r="B77" i="103" s="1"/>
  <c r="B78" i="103" s="1"/>
  <c r="B79" i="103" s="1"/>
  <c r="B80" i="103" s="1"/>
  <c r="B81" i="103" s="1"/>
  <c r="B82" i="103" s="1"/>
  <c r="B83" i="103" s="1"/>
  <c r="B84" i="103" s="1"/>
  <c r="B85" i="103" s="1"/>
  <c r="B86" i="103" s="1"/>
  <c r="V61" i="103"/>
  <c r="Q61" i="103"/>
  <c r="L61" i="103"/>
  <c r="G61" i="103"/>
  <c r="F60" i="103"/>
  <c r="F58" i="103"/>
  <c r="F57" i="103"/>
  <c r="F56" i="103"/>
  <c r="F55" i="103"/>
  <c r="F54" i="103"/>
  <c r="F53" i="103"/>
  <c r="F52" i="103"/>
  <c r="F51" i="103"/>
  <c r="F50" i="103"/>
  <c r="F49" i="103"/>
  <c r="F48" i="103"/>
  <c r="F47" i="103"/>
  <c r="F46" i="103"/>
  <c r="F45" i="103"/>
  <c r="B45" i="103"/>
  <c r="B46" i="103" s="1"/>
  <c r="B47" i="103" s="1"/>
  <c r="B48" i="103" s="1"/>
  <c r="B49" i="103" s="1"/>
  <c r="B50" i="103" s="1"/>
  <c r="B51" i="103" s="1"/>
  <c r="B52" i="103" s="1"/>
  <c r="B53" i="103" s="1"/>
  <c r="B54" i="103" s="1"/>
  <c r="B55" i="103" s="1"/>
  <c r="B56" i="103" s="1"/>
  <c r="B57" i="103" s="1"/>
  <c r="B58" i="103" s="1"/>
  <c r="B59" i="103" s="1"/>
  <c r="B60" i="103" s="1"/>
  <c r="F44" i="103"/>
  <c r="AA33" i="103"/>
  <c r="V33" i="103"/>
  <c r="Q33" i="103"/>
  <c r="L33" i="103"/>
  <c r="B17" i="103"/>
  <c r="B18" i="103" s="1"/>
  <c r="B19" i="103" s="1"/>
  <c r="B20" i="103" s="1"/>
  <c r="B21" i="103" s="1"/>
  <c r="B22" i="103" s="1"/>
  <c r="B23" i="103" s="1"/>
  <c r="B24" i="103" s="1"/>
  <c r="B25" i="103" s="1"/>
  <c r="B26" i="103" s="1"/>
  <c r="B27" i="103" s="1"/>
  <c r="B28" i="103" s="1"/>
  <c r="B29" i="103" s="1"/>
  <c r="B30" i="103" s="1"/>
  <c r="B31" i="103" s="1"/>
  <c r="B32" i="103" s="1"/>
  <c r="B64" i="55" l="1"/>
  <c r="B65" i="55" s="1"/>
  <c r="B55" i="55"/>
  <c r="B56" i="55" s="1"/>
  <c r="B57" i="55" s="1"/>
  <c r="B58" i="55" s="1"/>
  <c r="K30" i="116" l="1"/>
  <c r="J30" i="116"/>
  <c r="K29" i="116"/>
  <c r="J29" i="116"/>
  <c r="K28" i="116"/>
  <c r="J28" i="116"/>
  <c r="K27" i="116"/>
  <c r="J27" i="116"/>
  <c r="K26" i="116"/>
  <c r="J26" i="116"/>
  <c r="K25" i="116"/>
  <c r="J25" i="116"/>
  <c r="K24" i="116"/>
  <c r="J24" i="116"/>
  <c r="K23" i="116"/>
  <c r="J23" i="116"/>
  <c r="K22" i="116"/>
  <c r="J22" i="116"/>
  <c r="K21" i="116"/>
  <c r="J21" i="116"/>
  <c r="K20" i="116"/>
  <c r="J20" i="116"/>
  <c r="K19" i="116"/>
  <c r="J19" i="116"/>
  <c r="K18" i="116"/>
  <c r="J18" i="116"/>
  <c r="K17" i="116"/>
  <c r="J17" i="116"/>
  <c r="K16" i="116"/>
  <c r="J16" i="116"/>
  <c r="K15" i="116"/>
  <c r="J15" i="116"/>
  <c r="K14" i="116"/>
  <c r="J14" i="116"/>
  <c r="J31" i="116" l="1"/>
  <c r="K31" i="116"/>
  <c r="D84" i="116" l="1"/>
  <c r="D80" i="116"/>
  <c r="D79" i="116"/>
  <c r="D78" i="116"/>
  <c r="D77" i="116"/>
  <c r="D76" i="116"/>
  <c r="D75" i="116"/>
  <c r="D74" i="116"/>
  <c r="D73" i="116"/>
  <c r="D72" i="116"/>
  <c r="D71" i="116"/>
  <c r="D70" i="116"/>
  <c r="D69" i="116"/>
  <c r="D68" i="116"/>
  <c r="F30" i="116"/>
  <c r="E30" i="116"/>
  <c r="F29" i="116"/>
  <c r="E29" i="116"/>
  <c r="F28" i="116"/>
  <c r="E28" i="116"/>
  <c r="F27" i="116"/>
  <c r="E27" i="116"/>
  <c r="F26" i="116"/>
  <c r="E26" i="116"/>
  <c r="F25" i="116"/>
  <c r="E25" i="116"/>
  <c r="F24" i="116"/>
  <c r="E24" i="116"/>
  <c r="F23" i="116"/>
  <c r="E23" i="116"/>
  <c r="F22" i="116"/>
  <c r="E22" i="116"/>
  <c r="F21" i="116"/>
  <c r="E21" i="116"/>
  <c r="F20" i="116"/>
  <c r="E20" i="116"/>
  <c r="F19" i="116"/>
  <c r="E19" i="116"/>
  <c r="F18" i="116"/>
  <c r="E18" i="116"/>
  <c r="F17" i="116"/>
  <c r="E17" i="116"/>
  <c r="F16" i="116"/>
  <c r="E16" i="116"/>
  <c r="F15" i="116"/>
  <c r="E15" i="116"/>
  <c r="F14" i="116"/>
  <c r="E14" i="116"/>
  <c r="D82" i="116" l="1"/>
  <c r="D83" i="116"/>
  <c r="D81" i="116"/>
  <c r="F31" i="116"/>
  <c r="E31" i="116"/>
  <c r="D85" i="116" l="1"/>
  <c r="Q29" i="91"/>
  <c r="Q32" i="91" l="1"/>
  <c r="Q27" i="91"/>
  <c r="F70" i="70" l="1"/>
  <c r="F70" i="116" s="1"/>
  <c r="F124" i="116" s="1"/>
  <c r="F68" i="70"/>
  <c r="F68" i="116" s="1"/>
  <c r="F122" i="116" l="1"/>
  <c r="F81" i="70"/>
  <c r="F81" i="116" s="1"/>
  <c r="F135" i="116" s="1"/>
  <c r="F82" i="70"/>
  <c r="F82" i="116" s="1"/>
  <c r="F136" i="116" s="1"/>
  <c r="F75" i="70"/>
  <c r="F75" i="116" s="1"/>
  <c r="F129" i="116" s="1"/>
  <c r="F80" i="70"/>
  <c r="F80" i="116" s="1"/>
  <c r="F134" i="116" s="1"/>
  <c r="F31" i="70"/>
  <c r="Q25" i="91" l="1"/>
  <c r="D122" i="54" l="1"/>
  <c r="F11" i="79" l="1"/>
  <c r="G28" i="78" l="1"/>
  <c r="K21" i="72"/>
  <c r="L67" i="73"/>
  <c r="E67" i="73"/>
  <c r="E56" i="74" s="1"/>
  <c r="L56" i="73"/>
  <c r="L58" i="73" s="1"/>
  <c r="E56" i="73"/>
  <c r="E45" i="74" s="1"/>
  <c r="L45" i="73"/>
  <c r="L47" i="73" s="1"/>
  <c r="E45" i="73"/>
  <c r="L34" i="73"/>
  <c r="E34" i="73"/>
  <c r="L23" i="73"/>
  <c r="E23" i="73"/>
  <c r="I56" i="74"/>
  <c r="H56" i="74"/>
  <c r="F56" i="74"/>
  <c r="C56" i="74"/>
  <c r="J56" i="74" s="1"/>
  <c r="J58" i="74" s="1"/>
  <c r="I45" i="74"/>
  <c r="H45" i="74"/>
  <c r="F45" i="74"/>
  <c r="I35" i="74"/>
  <c r="H35" i="74"/>
  <c r="F35" i="74"/>
  <c r="L56" i="74"/>
  <c r="L58" i="74" s="1"/>
  <c r="N68" i="73"/>
  <c r="N57" i="73"/>
  <c r="N46" i="73"/>
  <c r="K12" i="72"/>
  <c r="L45" i="74" l="1"/>
  <c r="L47" i="74" s="1"/>
  <c r="L69" i="73"/>
  <c r="E35" i="74"/>
  <c r="L35" i="74"/>
  <c r="L37" i="74" s="1"/>
  <c r="O263" i="54"/>
  <c r="P263" i="54"/>
  <c r="Q263" i="54"/>
  <c r="O264" i="54"/>
  <c r="P264" i="54"/>
  <c r="Q264" i="54"/>
  <c r="O265" i="54"/>
  <c r="P265" i="54"/>
  <c r="Q265" i="54"/>
  <c r="O266" i="54"/>
  <c r="P266" i="54"/>
  <c r="Q266" i="54"/>
  <c r="O267" i="54"/>
  <c r="P267" i="54"/>
  <c r="Q267" i="54"/>
  <c r="O268" i="54"/>
  <c r="P268" i="54"/>
  <c r="Q268" i="54"/>
  <c r="O270" i="54"/>
  <c r="O273" i="54" s="1"/>
  <c r="O275" i="54" s="1"/>
  <c r="P270" i="54"/>
  <c r="P273" i="54" s="1"/>
  <c r="P275" i="54" s="1"/>
  <c r="Q270" i="54"/>
  <c r="Q273" i="54" s="1"/>
  <c r="Q275" i="54" s="1"/>
  <c r="M270" i="54"/>
  <c r="M273" i="54" s="1"/>
  <c r="M275" i="54" s="1"/>
  <c r="M268" i="54"/>
  <c r="M267" i="54"/>
  <c r="M266" i="54"/>
  <c r="M265" i="54"/>
  <c r="M264" i="54"/>
  <c r="M263" i="54"/>
  <c r="M123" i="54"/>
  <c r="M121" i="54"/>
  <c r="M120" i="54"/>
  <c r="M119" i="54"/>
  <c r="M118" i="54"/>
  <c r="M117" i="54"/>
  <c r="M116" i="54"/>
  <c r="O116" i="54"/>
  <c r="P116" i="54"/>
  <c r="Q116" i="54"/>
  <c r="O117" i="54"/>
  <c r="P117" i="54"/>
  <c r="Q117" i="54"/>
  <c r="O118" i="54"/>
  <c r="P118" i="54"/>
  <c r="Q118" i="54"/>
  <c r="O119" i="54"/>
  <c r="P119" i="54"/>
  <c r="Q119" i="54"/>
  <c r="O120" i="54"/>
  <c r="P120" i="54"/>
  <c r="Q120" i="54"/>
  <c r="O121" i="54"/>
  <c r="P121" i="54"/>
  <c r="Q121" i="54"/>
  <c r="O123" i="54"/>
  <c r="O126" i="54" s="1"/>
  <c r="O128" i="54" s="1"/>
  <c r="P123" i="54"/>
  <c r="P126" i="54" s="1"/>
  <c r="P128" i="54" s="1"/>
  <c r="Q123" i="54"/>
  <c r="M269" i="54" l="1"/>
  <c r="Q122" i="54"/>
  <c r="O269" i="54"/>
  <c r="M122" i="54"/>
  <c r="M126" i="54"/>
  <c r="M128" i="54" s="1"/>
  <c r="Q269" i="54"/>
  <c r="P269" i="54"/>
  <c r="Q126" i="54"/>
  <c r="Q128" i="54" s="1"/>
  <c r="O122" i="54"/>
  <c r="P122" i="54"/>
  <c r="Q148" i="70" l="1"/>
  <c r="V164" i="70"/>
  <c r="V163" i="70"/>
  <c r="V162" i="70"/>
  <c r="V161" i="70"/>
  <c r="V160" i="70"/>
  <c r="V159" i="70"/>
  <c r="V158" i="70"/>
  <c r="V157" i="70"/>
  <c r="V156" i="70"/>
  <c r="V155" i="70"/>
  <c r="V154" i="70"/>
  <c r="V153" i="70"/>
  <c r="V152" i="70"/>
  <c r="V151" i="70"/>
  <c r="V150" i="70"/>
  <c r="V149" i="70"/>
  <c r="V148" i="70"/>
  <c r="Q164" i="70"/>
  <c r="Q163" i="70"/>
  <c r="Q162" i="70"/>
  <c r="Q161" i="70"/>
  <c r="Q160" i="70"/>
  <c r="Q159" i="70"/>
  <c r="Q158" i="70"/>
  <c r="Q157" i="70"/>
  <c r="Q156" i="70"/>
  <c r="Q155" i="70"/>
  <c r="Q154" i="70"/>
  <c r="Q153" i="70"/>
  <c r="Q152" i="70"/>
  <c r="Q151" i="70"/>
  <c r="Q150" i="70"/>
  <c r="Q149" i="70"/>
  <c r="L122" i="70"/>
  <c r="V112" i="70"/>
  <c r="Q112" i="70"/>
  <c r="V57" i="70"/>
  <c r="Q57" i="70"/>
  <c r="E31" i="70"/>
  <c r="E12" i="93" s="1"/>
  <c r="G31" i="70"/>
  <c r="H30" i="67"/>
  <c r="Q165" i="70" l="1"/>
  <c r="V165" i="70"/>
  <c r="O42" i="71" l="1"/>
  <c r="O34" i="71"/>
  <c r="O26" i="71"/>
  <c r="B3" i="98" l="1"/>
  <c r="B2" i="98"/>
  <c r="B262" i="98"/>
  <c r="B274" i="98" s="1"/>
  <c r="B226" i="98"/>
  <c r="B238" i="98" s="1"/>
  <c r="B190" i="98"/>
  <c r="B202" i="98" s="1"/>
  <c r="B170" i="98"/>
  <c r="B176" i="98" s="1"/>
  <c r="B139" i="98"/>
  <c r="B151" i="98" s="1"/>
  <c r="B105" i="98"/>
  <c r="B117" i="98" s="1"/>
  <c r="B74" i="98"/>
  <c r="B86" i="98" s="1"/>
  <c r="B41" i="98"/>
  <c r="B53" i="98" s="1"/>
  <c r="B10" i="98"/>
  <c r="B22" i="98" s="1"/>
  <c r="H27" i="71" l="1"/>
  <c r="D27" i="71"/>
  <c r="E27" i="71"/>
  <c r="G27" i="71"/>
  <c r="F27" i="71"/>
  <c r="M24" i="58" l="1"/>
  <c r="I24" i="58"/>
  <c r="E24" i="58"/>
  <c r="B37" i="63" l="1"/>
  <c r="N15" i="62" l="1"/>
  <c r="I24" i="74" l="1"/>
  <c r="H24" i="74"/>
  <c r="F24" i="74"/>
  <c r="I13" i="74"/>
  <c r="H13" i="74"/>
  <c r="F13" i="74"/>
  <c r="B34" i="67" l="1"/>
  <c r="B35" i="67" s="1"/>
  <c r="B36" i="67" s="1"/>
  <c r="B37" i="67" s="1"/>
  <c r="B38" i="67" s="1"/>
  <c r="B39" i="67" l="1"/>
  <c r="B40" i="67" s="1"/>
  <c r="L112" i="70"/>
  <c r="G112" i="70"/>
  <c r="V85" i="70"/>
  <c r="Q85" i="70"/>
  <c r="L85" i="70"/>
  <c r="G85" i="70"/>
  <c r="L57" i="70"/>
  <c r="G57" i="70"/>
  <c r="V31" i="70"/>
  <c r="Q31" i="70"/>
  <c r="L31" i="70"/>
  <c r="Q62" i="91" l="1"/>
  <c r="Q61" i="91"/>
  <c r="D45" i="78"/>
  <c r="D18" i="78"/>
  <c r="B55" i="78"/>
  <c r="B56" i="78" s="1"/>
  <c r="B28" i="78"/>
  <c r="B29" i="78" s="1"/>
  <c r="Q138" i="70" l="1"/>
  <c r="L138" i="70"/>
  <c r="G138" i="70"/>
  <c r="Q137" i="70"/>
  <c r="L137" i="70"/>
  <c r="G137" i="70"/>
  <c r="Q136" i="70"/>
  <c r="L136" i="70"/>
  <c r="G136" i="70"/>
  <c r="Q135" i="70"/>
  <c r="L135" i="70"/>
  <c r="G135" i="70"/>
  <c r="Q134" i="70"/>
  <c r="L134" i="70"/>
  <c r="G134" i="70"/>
  <c r="L164" i="70"/>
  <c r="G164" i="70"/>
  <c r="V138" i="70"/>
  <c r="L163" i="70"/>
  <c r="G163" i="70"/>
  <c r="V137" i="70"/>
  <c r="L162" i="70"/>
  <c r="G162" i="70"/>
  <c r="V136" i="70"/>
  <c r="L161" i="70"/>
  <c r="G161" i="70"/>
  <c r="V135" i="70"/>
  <c r="L160" i="70"/>
  <c r="G160" i="70"/>
  <c r="V134" i="70"/>
  <c r="B12" i="77" l="1"/>
  <c r="B13" i="77" s="1"/>
  <c r="B14" i="77" s="1"/>
  <c r="B15" i="77" s="1"/>
  <c r="B16" i="77" s="1"/>
  <c r="B17" i="77" s="1"/>
  <c r="B18" i="77" s="1"/>
  <c r="B19" i="77" s="1"/>
  <c r="B20" i="77" s="1"/>
  <c r="B21" i="77" s="1"/>
  <c r="B22" i="77" s="1"/>
  <c r="B23" i="77" s="1"/>
  <c r="B24" i="77" s="1"/>
  <c r="B25" i="77" s="1"/>
  <c r="B26" i="77" s="1"/>
  <c r="L159" i="70" l="1"/>
  <c r="G159" i="70"/>
  <c r="V133" i="70"/>
  <c r="L158" i="70"/>
  <c r="G158" i="70"/>
  <c r="V132" i="70"/>
  <c r="L157" i="70"/>
  <c r="G157" i="70"/>
  <c r="V131" i="70"/>
  <c r="L156" i="70"/>
  <c r="G156" i="70"/>
  <c r="V130" i="70"/>
  <c r="L155" i="70"/>
  <c r="G155" i="70"/>
  <c r="V129" i="70"/>
  <c r="L154" i="70"/>
  <c r="G154" i="70"/>
  <c r="V128" i="70"/>
  <c r="L153" i="70"/>
  <c r="G153" i="70"/>
  <c r="V127" i="70"/>
  <c r="L152" i="70"/>
  <c r="G152" i="70"/>
  <c r="V126" i="70"/>
  <c r="L151" i="70"/>
  <c r="G151" i="70"/>
  <c r="V125" i="70"/>
  <c r="L150" i="70"/>
  <c r="G150" i="70"/>
  <c r="V124" i="70"/>
  <c r="L149" i="70"/>
  <c r="G149" i="70"/>
  <c r="V123" i="70"/>
  <c r="L148" i="70"/>
  <c r="G148" i="70"/>
  <c r="V122" i="70"/>
  <c r="Q133" i="70"/>
  <c r="L133" i="70"/>
  <c r="G133" i="70"/>
  <c r="Q132" i="70"/>
  <c r="L132" i="70"/>
  <c r="G132" i="70"/>
  <c r="Q131" i="70"/>
  <c r="L131" i="70"/>
  <c r="G131" i="70"/>
  <c r="Q130" i="70"/>
  <c r="L130" i="70"/>
  <c r="G130" i="70"/>
  <c r="Q129" i="70"/>
  <c r="L129" i="70"/>
  <c r="G129" i="70"/>
  <c r="Q128" i="70"/>
  <c r="L128" i="70"/>
  <c r="G128" i="70"/>
  <c r="Q127" i="70"/>
  <c r="L127" i="70"/>
  <c r="G127" i="70"/>
  <c r="Q126" i="70"/>
  <c r="L126" i="70"/>
  <c r="G126" i="70"/>
  <c r="Q125" i="70"/>
  <c r="L125" i="70"/>
  <c r="G125" i="70"/>
  <c r="Q124" i="70"/>
  <c r="L124" i="70"/>
  <c r="G124" i="70"/>
  <c r="Q123" i="70"/>
  <c r="L123" i="70"/>
  <c r="G123" i="70"/>
  <c r="Q122" i="70"/>
  <c r="G122" i="70"/>
  <c r="G139" i="70" l="1"/>
  <c r="L139" i="70"/>
  <c r="Q139" i="70"/>
  <c r="V139" i="70"/>
  <c r="G165" i="70"/>
  <c r="L165" i="70"/>
  <c r="L40" i="78" l="1"/>
  <c r="L13" i="78"/>
  <c r="Q65" i="91"/>
  <c r="Q49" i="91"/>
  <c r="N123" i="54"/>
  <c r="N126" i="54" s="1"/>
  <c r="N128" i="54" s="1"/>
  <c r="L122" i="54"/>
  <c r="J122" i="54"/>
  <c r="I122" i="54"/>
  <c r="G122" i="54"/>
  <c r="N121" i="54"/>
  <c r="N119" i="54"/>
  <c r="N118" i="54"/>
  <c r="N117" i="54"/>
  <c r="N116" i="54"/>
  <c r="L110" i="54"/>
  <c r="L108" i="54"/>
  <c r="K107" i="54"/>
  <c r="L107" i="54" s="1"/>
  <c r="L106" i="54"/>
  <c r="L105" i="54"/>
  <c r="L104" i="54"/>
  <c r="L103" i="54"/>
  <c r="L100" i="54"/>
  <c r="L98" i="54"/>
  <c r="L96" i="54"/>
  <c r="L95" i="54"/>
  <c r="L94" i="54"/>
  <c r="L93" i="54"/>
  <c r="L90" i="54"/>
  <c r="L88" i="54"/>
  <c r="K87" i="54"/>
  <c r="L87" i="54" s="1"/>
  <c r="L86" i="54"/>
  <c r="L85" i="54"/>
  <c r="L84" i="54"/>
  <c r="L83" i="54"/>
  <c r="L80" i="54"/>
  <c r="L78" i="54"/>
  <c r="K77" i="54"/>
  <c r="L77" i="54" s="1"/>
  <c r="L76" i="54"/>
  <c r="L75" i="54"/>
  <c r="L74" i="54"/>
  <c r="L73" i="54"/>
  <c r="L70" i="54"/>
  <c r="L68" i="54"/>
  <c r="K67" i="54"/>
  <c r="L67" i="54" s="1"/>
  <c r="L66" i="54"/>
  <c r="L65" i="54"/>
  <c r="L64" i="54"/>
  <c r="L63" i="54"/>
  <c r="L60" i="54"/>
  <c r="L58" i="54"/>
  <c r="K59" i="54"/>
  <c r="K57" i="54"/>
  <c r="L57" i="54" s="1"/>
  <c r="L56" i="54"/>
  <c r="L55" i="54"/>
  <c r="L54" i="54"/>
  <c r="L53" i="54"/>
  <c r="L50" i="54"/>
  <c r="L48" i="54"/>
  <c r="K49" i="54"/>
  <c r="K47" i="54"/>
  <c r="L47" i="54" s="1"/>
  <c r="L46" i="54"/>
  <c r="L45" i="54"/>
  <c r="L44" i="54"/>
  <c r="L43" i="54"/>
  <c r="K123" i="54"/>
  <c r="L38" i="54"/>
  <c r="K121" i="54"/>
  <c r="K37" i="54"/>
  <c r="L37" i="54" s="1"/>
  <c r="K119" i="54"/>
  <c r="K118" i="54"/>
  <c r="K117" i="54"/>
  <c r="K116" i="54"/>
  <c r="L185" i="54"/>
  <c r="L183" i="54"/>
  <c r="L182" i="54"/>
  <c r="L181" i="54"/>
  <c r="L180" i="54"/>
  <c r="L177" i="54"/>
  <c r="L175" i="54"/>
  <c r="L173" i="54"/>
  <c r="L172" i="54"/>
  <c r="L171" i="54"/>
  <c r="L170" i="54"/>
  <c r="L167" i="54"/>
  <c r="L157" i="54"/>
  <c r="K156" i="54"/>
  <c r="L153" i="54"/>
  <c r="L152" i="54"/>
  <c r="L151" i="54"/>
  <c r="L150" i="54"/>
  <c r="K270" i="54"/>
  <c r="K268" i="54"/>
  <c r="L143" i="54"/>
  <c r="K265" i="54"/>
  <c r="L141" i="54"/>
  <c r="N270" i="54"/>
  <c r="N273" i="54" s="1"/>
  <c r="N275" i="54" s="1"/>
  <c r="L269" i="54"/>
  <c r="J269" i="54"/>
  <c r="I269" i="54"/>
  <c r="G269" i="54"/>
  <c r="N268" i="54"/>
  <c r="N266" i="54"/>
  <c r="N265" i="54"/>
  <c r="N264" i="54"/>
  <c r="N263" i="54"/>
  <c r="L257" i="54"/>
  <c r="L255" i="54"/>
  <c r="K254" i="54"/>
  <c r="L254" i="54" s="1"/>
  <c r="L253" i="54"/>
  <c r="L252" i="54"/>
  <c r="L251" i="54"/>
  <c r="L250" i="54"/>
  <c r="L247" i="54"/>
  <c r="K246" i="54"/>
  <c r="L245" i="54"/>
  <c r="K244" i="54"/>
  <c r="L244" i="54" s="1"/>
  <c r="L243" i="54"/>
  <c r="L242" i="54"/>
  <c r="L241" i="54"/>
  <c r="L240" i="54"/>
  <c r="L237" i="54"/>
  <c r="L235" i="54"/>
  <c r="K234" i="54"/>
  <c r="L234" i="54" s="1"/>
  <c r="L233" i="54"/>
  <c r="L232" i="54"/>
  <c r="L231" i="54"/>
  <c r="L230" i="54"/>
  <c r="L227" i="54"/>
  <c r="K226" i="54"/>
  <c r="L225" i="54"/>
  <c r="K224" i="54"/>
  <c r="L224" i="54" s="1"/>
  <c r="L223" i="54"/>
  <c r="L222" i="54"/>
  <c r="L221" i="54"/>
  <c r="L220" i="54"/>
  <c r="L217" i="54"/>
  <c r="L215" i="54"/>
  <c r="K214" i="54"/>
  <c r="L214" i="54" s="1"/>
  <c r="L213" i="54"/>
  <c r="L212" i="54"/>
  <c r="L211" i="54"/>
  <c r="L210" i="54"/>
  <c r="L207" i="54"/>
  <c r="L205" i="54"/>
  <c r="K204" i="54"/>
  <c r="L204" i="54" s="1"/>
  <c r="L203" i="54"/>
  <c r="L202" i="54"/>
  <c r="L201" i="54"/>
  <c r="L200" i="54"/>
  <c r="L197" i="54"/>
  <c r="L195" i="54"/>
  <c r="K194" i="54"/>
  <c r="L194" i="54" s="1"/>
  <c r="L193" i="54"/>
  <c r="L192" i="54"/>
  <c r="L191" i="54"/>
  <c r="L190" i="54"/>
  <c r="L187" i="54"/>
  <c r="K184" i="54"/>
  <c r="L184" i="54" s="1"/>
  <c r="K174" i="54"/>
  <c r="L174" i="54" s="1"/>
  <c r="K166" i="54"/>
  <c r="K164" i="54"/>
  <c r="L164" i="54" s="1"/>
  <c r="L163" i="54"/>
  <c r="L162" i="54"/>
  <c r="L161" i="54"/>
  <c r="L160" i="54"/>
  <c r="K154" i="54"/>
  <c r="L154" i="54" s="1"/>
  <c r="K144" i="54"/>
  <c r="L144" i="54" s="1"/>
  <c r="K266" i="54"/>
  <c r="L142" i="54"/>
  <c r="H20" i="69"/>
  <c r="H17" i="69"/>
  <c r="H16" i="69"/>
  <c r="H15" i="69"/>
  <c r="H13" i="69"/>
  <c r="B12" i="68"/>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H43" i="68"/>
  <c r="H39" i="68"/>
  <c r="H38" i="68"/>
  <c r="H36" i="68"/>
  <c r="H35" i="68"/>
  <c r="H34" i="68"/>
  <c r="H33" i="68"/>
  <c r="H32" i="68"/>
  <c r="H31" i="68"/>
  <c r="H30" i="68"/>
  <c r="H29" i="68"/>
  <c r="H28" i="68"/>
  <c r="H27" i="68"/>
  <c r="H26" i="68"/>
  <c r="H25" i="68"/>
  <c r="H24" i="68"/>
  <c r="H23" i="68"/>
  <c r="H20" i="68"/>
  <c r="H19" i="68"/>
  <c r="H18" i="68"/>
  <c r="B29" i="67"/>
  <c r="B30" i="67" s="1"/>
  <c r="B31" i="67" s="1"/>
  <c r="B32" i="67" s="1"/>
  <c r="H35" i="67"/>
  <c r="H33" i="67"/>
  <c r="H31" i="67"/>
  <c r="H28" i="67"/>
  <c r="H27" i="67"/>
  <c r="H26" i="67"/>
  <c r="H25" i="67"/>
  <c r="H24" i="67"/>
  <c r="H23" i="67"/>
  <c r="H21" i="67"/>
  <c r="H20" i="67"/>
  <c r="H19" i="67"/>
  <c r="H18" i="67"/>
  <c r="H17" i="67"/>
  <c r="H15" i="67"/>
  <c r="H14" i="67"/>
  <c r="I19" i="77"/>
  <c r="M21" i="75"/>
  <c r="M19" i="75"/>
  <c r="M18" i="75"/>
  <c r="M17" i="75"/>
  <c r="M14" i="75"/>
  <c r="M12" i="75"/>
  <c r="M10" i="75"/>
  <c r="B11" i="75"/>
  <c r="B12" i="75" s="1"/>
  <c r="B13" i="75" s="1"/>
  <c r="B14" i="75" s="1"/>
  <c r="B15" i="75" s="1"/>
  <c r="B16" i="75" s="1"/>
  <c r="B17" i="75" s="1"/>
  <c r="B18" i="75" s="1"/>
  <c r="B19" i="75" s="1"/>
  <c r="B20" i="75" s="1"/>
  <c r="B21" i="75" s="1"/>
  <c r="B22" i="75" s="1"/>
  <c r="B23" i="75" s="1"/>
  <c r="B24" i="75" s="1"/>
  <c r="B25" i="75" s="1"/>
  <c r="B26" i="75" s="1"/>
  <c r="B27" i="75" s="1"/>
  <c r="N269" i="54" l="1"/>
  <c r="K126" i="54"/>
  <c r="K128" i="54" s="1"/>
  <c r="N122" i="54"/>
  <c r="N267" i="54"/>
  <c r="N120" i="54"/>
  <c r="L176" i="54"/>
  <c r="L69" i="54"/>
  <c r="L49" i="54"/>
  <c r="L59" i="54"/>
  <c r="L79" i="54"/>
  <c r="L89" i="54"/>
  <c r="L33" i="54"/>
  <c r="L34" i="54"/>
  <c r="L35" i="54"/>
  <c r="L36" i="54"/>
  <c r="L40" i="54"/>
  <c r="L39" i="54" s="1"/>
  <c r="K97" i="54"/>
  <c r="L97" i="54" s="1"/>
  <c r="K39" i="54"/>
  <c r="K69" i="54"/>
  <c r="K79" i="54"/>
  <c r="K89" i="54"/>
  <c r="L99" i="54"/>
  <c r="L109" i="54"/>
  <c r="K122" i="54"/>
  <c r="K99" i="54"/>
  <c r="K109" i="54"/>
  <c r="L147" i="54"/>
  <c r="L186" i="54"/>
  <c r="K264" i="54"/>
  <c r="K176" i="54"/>
  <c r="K146" i="54"/>
  <c r="L206" i="54"/>
  <c r="L145" i="54"/>
  <c r="L155" i="54"/>
  <c r="L156" i="54" s="1"/>
  <c r="L165" i="54"/>
  <c r="L166" i="54" s="1"/>
  <c r="K186" i="54"/>
  <c r="K196" i="54"/>
  <c r="K216" i="54"/>
  <c r="K256" i="54"/>
  <c r="K263" i="54"/>
  <c r="K267" i="54"/>
  <c r="K273" i="54"/>
  <c r="K275" i="54" s="1"/>
  <c r="K269" i="54"/>
  <c r="K206" i="54"/>
  <c r="L140" i="54"/>
  <c r="L196" i="54"/>
  <c r="K236" i="54"/>
  <c r="L216" i="54"/>
  <c r="L226" i="54"/>
  <c r="L236" i="54"/>
  <c r="L246" i="54"/>
  <c r="L256" i="54"/>
  <c r="B310" i="54"/>
  <c r="B311" i="54" s="1"/>
  <c r="B312" i="54" s="1"/>
  <c r="B313" i="54" s="1"/>
  <c r="B314" i="54" s="1"/>
  <c r="B315" i="54" s="1"/>
  <c r="B316" i="54" s="1"/>
  <c r="B317" i="54" s="1"/>
  <c r="K301" i="54"/>
  <c r="H301" i="54"/>
  <c r="E301" i="54"/>
  <c r="K299" i="54"/>
  <c r="H299" i="54"/>
  <c r="E299" i="54"/>
  <c r="B295" i="54"/>
  <c r="B296" i="54" s="1"/>
  <c r="B297" i="54" s="1"/>
  <c r="B298" i="54" s="1"/>
  <c r="B299" i="54" s="1"/>
  <c r="B300" i="54" s="1"/>
  <c r="B301" i="54" s="1"/>
  <c r="B302" i="54" s="1"/>
  <c r="K291" i="54"/>
  <c r="H291" i="54"/>
  <c r="E291" i="54"/>
  <c r="K289" i="54"/>
  <c r="H289" i="54"/>
  <c r="E289" i="54"/>
  <c r="B286" i="54"/>
  <c r="B287" i="54" s="1"/>
  <c r="B288" i="54" s="1"/>
  <c r="B289" i="54" s="1"/>
  <c r="B290" i="54" s="1"/>
  <c r="B291" i="54" s="1"/>
  <c r="B292" i="54" s="1"/>
  <c r="B263" i="54"/>
  <c r="B264" i="54" s="1"/>
  <c r="B265" i="54" s="1"/>
  <c r="B266" i="54" s="1"/>
  <c r="B267" i="54" s="1"/>
  <c r="B268" i="54" s="1"/>
  <c r="B269" i="54" s="1"/>
  <c r="B270"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B141" i="54"/>
  <c r="B142" i="54" s="1"/>
  <c r="B143" i="54" s="1"/>
  <c r="B144" i="54" s="1"/>
  <c r="B145" i="54" s="1"/>
  <c r="B146" i="54" s="1"/>
  <c r="B147" i="54" s="1"/>
  <c r="B116" i="54"/>
  <c r="B117" i="54" s="1"/>
  <c r="B118" i="54" s="1"/>
  <c r="B119" i="54" s="1"/>
  <c r="B120" i="54" s="1"/>
  <c r="B121" i="54" s="1"/>
  <c r="B122" i="54" s="1"/>
  <c r="B123"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B43" i="54"/>
  <c r="B44" i="54" s="1"/>
  <c r="B45" i="54" s="1"/>
  <c r="B46" i="54" s="1"/>
  <c r="B47" i="54" s="1"/>
  <c r="B48" i="54" s="1"/>
  <c r="B49" i="54" s="1"/>
  <c r="B50" i="54" s="1"/>
  <c r="B34" i="54"/>
  <c r="B35" i="54" s="1"/>
  <c r="B36" i="54" s="1"/>
  <c r="B37" i="54" s="1"/>
  <c r="B38" i="54" s="1"/>
  <c r="B39" i="54" s="1"/>
  <c r="B40" i="54" s="1"/>
  <c r="L146" i="54" l="1"/>
  <c r="K120" i="54"/>
  <c r="G79" i="67"/>
  <c r="F79" i="67"/>
  <c r="E79" i="67"/>
  <c r="D79" i="67"/>
  <c r="D20" i="55" l="1"/>
  <c r="Q20" i="91" l="1"/>
  <c r="Q33" i="91"/>
  <c r="O11" i="71"/>
  <c r="O18" i="71"/>
  <c r="B149" i="70"/>
  <c r="B150" i="70" s="1"/>
  <c r="B151" i="70" s="1"/>
  <c r="B152" i="70" s="1"/>
  <c r="B153" i="70" s="1"/>
  <c r="B154" i="70" s="1"/>
  <c r="B155" i="70" s="1"/>
  <c r="B156" i="70" s="1"/>
  <c r="B157" i="70" s="1"/>
  <c r="B158" i="70" s="1"/>
  <c r="B159" i="70" s="1"/>
  <c r="B160" i="70" s="1"/>
  <c r="B161" i="70" s="1"/>
  <c r="B162" i="70" s="1"/>
  <c r="B163" i="70" s="1"/>
  <c r="B164" i="70" s="1"/>
  <c r="B123" i="70"/>
  <c r="B124" i="70" s="1"/>
  <c r="B125" i="70" s="1"/>
  <c r="B126" i="70" s="1"/>
  <c r="B127" i="70" s="1"/>
  <c r="B128" i="70" s="1"/>
  <c r="B129" i="70" s="1"/>
  <c r="B130" i="70" s="1"/>
  <c r="B131" i="70" s="1"/>
  <c r="B132" i="70" s="1"/>
  <c r="B133" i="70" s="1"/>
  <c r="B134" i="70" s="1"/>
  <c r="B135" i="70" s="1"/>
  <c r="B136" i="70" s="1"/>
  <c r="B137" i="70" s="1"/>
  <c r="B138" i="70" s="1"/>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B12" i="60" l="1"/>
  <c r="B13" i="60" s="1"/>
  <c r="B14" i="60" s="1"/>
  <c r="B15" i="60" s="1"/>
  <c r="B16" i="60" s="1"/>
  <c r="B17" i="60" s="1"/>
  <c r="B18" i="60" s="1"/>
  <c r="B19" i="60" s="1"/>
  <c r="B20" i="60" s="1"/>
  <c r="B21" i="60" s="1"/>
  <c r="B22" i="60" s="1"/>
  <c r="B23" i="60" s="1"/>
  <c r="B24" i="60" s="1"/>
  <c r="B25" i="60" s="1"/>
  <c r="B26" i="60" s="1"/>
  <c r="B27" i="60" s="1"/>
  <c r="T24" i="58"/>
  <c r="S24" i="58"/>
  <c r="O24" i="58"/>
  <c r="K24" i="58"/>
  <c r="E45" i="78" s="1"/>
  <c r="E2" i="99"/>
  <c r="E3" i="99"/>
  <c r="B2" i="78"/>
  <c r="B3" i="78"/>
  <c r="B2" i="75"/>
  <c r="B3" i="75"/>
  <c r="N2" i="77"/>
  <c r="N3" i="77"/>
  <c r="B2" i="74"/>
  <c r="B3" i="74"/>
  <c r="B2" i="73"/>
  <c r="B3" i="73"/>
  <c r="F2" i="91"/>
  <c r="F3" i="91"/>
  <c r="B2" i="72"/>
  <c r="B3" i="72"/>
  <c r="B3" i="71"/>
  <c r="B2" i="71"/>
  <c r="B2" i="55"/>
  <c r="C3" i="54"/>
  <c r="C2" i="54"/>
  <c r="K4" i="70"/>
  <c r="K5" i="70"/>
  <c r="B2" i="93"/>
  <c r="B3" i="93"/>
  <c r="B2" i="69"/>
  <c r="B3" i="69"/>
  <c r="B2" i="68"/>
  <c r="B3" i="68"/>
  <c r="B2" i="67"/>
  <c r="B3" i="67"/>
  <c r="B1" i="66"/>
  <c r="B2" i="66"/>
  <c r="B2" i="65"/>
  <c r="B3" i="65"/>
  <c r="B2" i="63"/>
  <c r="B3" i="63"/>
  <c r="B2" i="79"/>
  <c r="B3" i="79"/>
  <c r="B2" i="62"/>
  <c r="B3" i="62"/>
  <c r="E2" i="61"/>
  <c r="B3" i="60"/>
  <c r="B2" i="60"/>
  <c r="E3" i="61"/>
  <c r="L45" i="78" l="1"/>
  <c r="F45" i="78"/>
  <c r="G45" i="78"/>
  <c r="N35" i="73" l="1"/>
  <c r="N24" i="73"/>
  <c r="M14" i="73"/>
  <c r="G24" i="58"/>
  <c r="E18" i="78" s="1"/>
  <c r="L18" i="78" l="1"/>
  <c r="G18" i="78"/>
  <c r="F18" i="78"/>
  <c r="E12" i="72"/>
  <c r="N13" i="73" l="1"/>
  <c r="B3" i="59" l="1"/>
  <c r="B2" i="59"/>
  <c r="B3" i="81"/>
  <c r="B2" i="81"/>
  <c r="A3" i="80"/>
  <c r="A2" i="80"/>
  <c r="B2" i="58"/>
  <c r="B3" i="58"/>
  <c r="F20" i="54" l="1"/>
  <c r="F14" i="54"/>
  <c r="F13" i="54"/>
  <c r="M13" i="93" l="1"/>
  <c r="N13" i="93" s="1"/>
  <c r="I13" i="93"/>
  <c r="F13" i="93"/>
  <c r="M67" i="66"/>
  <c r="N67" i="66" s="1"/>
  <c r="M66" i="66"/>
  <c r="N66" i="66" s="1"/>
  <c r="M65" i="66"/>
  <c r="N65" i="66" s="1"/>
  <c r="M64" i="66"/>
  <c r="N64" i="66" s="1"/>
  <c r="I67" i="66"/>
  <c r="I66" i="66"/>
  <c r="I65" i="66"/>
  <c r="I64" i="66"/>
  <c r="F67" i="66"/>
  <c r="F66" i="66"/>
  <c r="F65" i="66"/>
  <c r="F64" i="66"/>
  <c r="N55" i="66"/>
  <c r="O55" i="66" s="1"/>
  <c r="N54" i="66"/>
  <c r="O54" i="66" s="1"/>
  <c r="N53" i="66"/>
  <c r="O53" i="66" s="1"/>
  <c r="N52" i="66"/>
  <c r="O52" i="66" s="1"/>
  <c r="N51" i="66"/>
  <c r="O51" i="66" s="1"/>
  <c r="N48" i="66"/>
  <c r="O48" i="66" s="1"/>
  <c r="N47" i="66"/>
  <c r="O47" i="66" s="1"/>
  <c r="N46" i="66"/>
  <c r="O46" i="66" s="1"/>
  <c r="N45" i="66"/>
  <c r="O45" i="66" s="1"/>
  <c r="N44" i="66"/>
  <c r="O44" i="66" s="1"/>
  <c r="N41" i="66"/>
  <c r="O41" i="66" s="1"/>
  <c r="N40" i="66"/>
  <c r="O40" i="66" s="1"/>
  <c r="N39" i="66"/>
  <c r="O39" i="66" s="1"/>
  <c r="N38" i="66"/>
  <c r="O38" i="66" s="1"/>
  <c r="N37" i="66"/>
  <c r="O37" i="66" s="1"/>
  <c r="J55" i="66"/>
  <c r="J54" i="66"/>
  <c r="J53" i="66"/>
  <c r="J52" i="66"/>
  <c r="J51" i="66"/>
  <c r="J48" i="66"/>
  <c r="J47" i="66"/>
  <c r="J46" i="66"/>
  <c r="J45" i="66"/>
  <c r="J44" i="66"/>
  <c r="J41" i="66"/>
  <c r="J40" i="66"/>
  <c r="J39" i="66"/>
  <c r="J38" i="66"/>
  <c r="J37" i="66"/>
  <c r="G55" i="66"/>
  <c r="G54" i="66"/>
  <c r="G53" i="66"/>
  <c r="G52" i="66"/>
  <c r="G51" i="66"/>
  <c r="G48" i="66"/>
  <c r="G47" i="66"/>
  <c r="G46" i="66"/>
  <c r="G45" i="66"/>
  <c r="G44" i="66"/>
  <c r="G41" i="66"/>
  <c r="G40" i="66"/>
  <c r="G39" i="66"/>
  <c r="G38" i="66"/>
  <c r="G37" i="66"/>
  <c r="B15" i="66" l="1"/>
  <c r="H24" i="58"/>
  <c r="L12" i="55" l="1"/>
  <c r="I12" i="55"/>
  <c r="F12" i="55"/>
  <c r="L20" i="54"/>
  <c r="L14" i="54"/>
  <c r="L13" i="54"/>
  <c r="I20" i="54"/>
  <c r="I14" i="54"/>
  <c r="I13" i="54"/>
  <c r="J14" i="93" l="1"/>
  <c r="J13" i="55" s="1"/>
  <c r="D14" i="93"/>
  <c r="D13" i="55" s="1"/>
  <c r="N11" i="58"/>
  <c r="Q24" i="58"/>
  <c r="R24" i="58" s="1"/>
  <c r="L24" i="58"/>
  <c r="D17" i="54" l="1"/>
  <c r="J21" i="55"/>
  <c r="J17" i="54"/>
  <c r="G11" i="58"/>
  <c r="E10" i="78" s="1"/>
  <c r="T11" i="58"/>
  <c r="O11" i="58"/>
  <c r="K11" i="58"/>
  <c r="E37" i="78" s="1"/>
  <c r="P11" i="58"/>
  <c r="F11" i="58"/>
  <c r="D10" i="78" s="1"/>
  <c r="J11" i="58"/>
  <c r="D37" i="78" s="1"/>
  <c r="B41" i="91"/>
  <c r="B42" i="91" s="1"/>
  <c r="B43" i="91" s="1"/>
  <c r="B44" i="91" s="1"/>
  <c r="B46" i="91" s="1"/>
  <c r="B47" i="91" s="1"/>
  <c r="B48" i="91" s="1"/>
  <c r="B49" i="91" s="1"/>
  <c r="B50" i="91" s="1"/>
  <c r="B51" i="91" s="1"/>
  <c r="B52" i="91" s="1"/>
  <c r="B53" i="91" s="1"/>
  <c r="B54" i="91" s="1"/>
  <c r="B55" i="91" s="1"/>
  <c r="B56" i="91" s="1"/>
  <c r="B39" i="55"/>
  <c r="B36" i="55"/>
  <c r="G10" i="78" l="1"/>
  <c r="H10" i="78" s="1"/>
  <c r="L10" i="78" s="1"/>
  <c r="F10" i="78"/>
  <c r="F37" i="78"/>
  <c r="G37" i="78"/>
  <c r="B57" i="91"/>
  <c r="B58" i="91" s="1"/>
  <c r="D15" i="55"/>
  <c r="G11" i="55" s="1"/>
  <c r="D21" i="55"/>
  <c r="D22" i="55" s="1"/>
  <c r="E27" i="58" s="1"/>
  <c r="H11" i="58"/>
  <c r="L11" i="58"/>
  <c r="Q11" i="58"/>
  <c r="B21" i="55"/>
  <c r="B22" i="55" s="1"/>
  <c r="B12" i="55"/>
  <c r="B13" i="55" s="1"/>
  <c r="B14" i="55" s="1"/>
  <c r="B15" i="55" s="1"/>
  <c r="H37" i="78" l="1"/>
  <c r="B59" i="91"/>
  <c r="B60" i="91" s="1"/>
  <c r="B61" i="91" s="1"/>
  <c r="B62" i="91" s="1"/>
  <c r="B63" i="91" s="1"/>
  <c r="B64" i="91" s="1"/>
  <c r="B66" i="91" s="1"/>
  <c r="B67" i="91" s="1"/>
  <c r="G20" i="55"/>
  <c r="R11" i="58"/>
  <c r="L37" i="78" l="1"/>
  <c r="B12" i="93"/>
  <c r="B13" i="93" s="1"/>
  <c r="B14" i="93" s="1"/>
  <c r="B11" i="91" l="1"/>
  <c r="B12" i="91" s="1"/>
  <c r="B13" i="91" s="1"/>
  <c r="B14" i="91" s="1"/>
  <c r="B17" i="91" s="1"/>
  <c r="B18" i="91" s="1"/>
  <c r="B19" i="91" s="1"/>
  <c r="B20" i="91" s="1"/>
  <c r="B21" i="91" s="1"/>
  <c r="B22" i="91" s="1"/>
  <c r="B23" i="91" s="1"/>
  <c r="B24" i="91" s="1"/>
  <c r="B25" i="91" s="1"/>
  <c r="B26" i="91" s="1"/>
  <c r="B27" i="91" s="1"/>
  <c r="B28" i="91" l="1"/>
  <c r="B29" i="91" s="1"/>
  <c r="B30" i="91" s="1"/>
  <c r="B31" i="91" s="1"/>
  <c r="B32" i="91" s="1"/>
  <c r="B34" i="91" s="1"/>
  <c r="B35" i="91" s="1"/>
  <c r="B14" i="54"/>
  <c r="B15" i="54" s="1"/>
  <c r="B16" i="54" s="1"/>
  <c r="B17" i="54" s="1"/>
  <c r="B18" i="54" s="1"/>
  <c r="B19" i="54" s="1"/>
  <c r="B20" i="54" s="1"/>
  <c r="B66" i="61" l="1"/>
  <c r="B67" i="61" s="1"/>
  <c r="B53" i="61"/>
  <c r="B54" i="61" s="1"/>
  <c r="B55" i="61" s="1"/>
  <c r="B56" i="61" s="1"/>
  <c r="B57" i="61" s="1"/>
  <c r="B58" i="61" s="1"/>
  <c r="B59" i="61" s="1"/>
  <c r="B60" i="61" s="1"/>
  <c r="B61" i="61" s="1"/>
  <c r="B62" i="61" s="1"/>
  <c r="B63" i="61" s="1"/>
  <c r="B11" i="59"/>
  <c r="B12" i="59" s="1"/>
  <c r="B54" i="81"/>
  <c r="B55" i="81" s="1"/>
  <c r="B50" i="81"/>
  <c r="B51" i="81" s="1"/>
  <c r="B46" i="81"/>
  <c r="B47" i="81" s="1"/>
  <c r="B34" i="81"/>
  <c r="B30" i="81"/>
  <c r="B25" i="81"/>
  <c r="B15" i="81"/>
  <c r="B11" i="79"/>
  <c r="B12" i="79" s="1"/>
  <c r="B13" i="79" s="1"/>
  <c r="B16" i="79" s="1"/>
  <c r="B17" i="79" s="1"/>
  <c r="B18" i="79" s="1"/>
  <c r="B11" i="66" l="1"/>
  <c r="B12" i="66" s="1"/>
  <c r="B16" i="66" s="1"/>
  <c r="B27" i="61"/>
  <c r="B57" i="67"/>
  <c r="B58" i="67" s="1"/>
  <c r="B59" i="67" s="1"/>
  <c r="B60" i="67" s="1"/>
  <c r="B63" i="67"/>
  <c r="B64" i="67" s="1"/>
  <c r="B65" i="67" s="1"/>
  <c r="B66" i="67" s="1"/>
  <c r="B69" i="67"/>
  <c r="B70" i="67" s="1"/>
  <c r="B71" i="67" s="1"/>
  <c r="B72" i="67" s="1"/>
  <c r="B75" i="67"/>
  <c r="B76" i="67" s="1"/>
  <c r="B77" i="67" s="1"/>
  <c r="B78" i="67" s="1"/>
  <c r="B11" i="61"/>
  <c r="B12" i="61" s="1"/>
  <c r="B13" i="61" s="1"/>
  <c r="B14" i="61" s="1"/>
  <c r="B15" i="61" s="1"/>
  <c r="B16" i="61" s="1"/>
  <c r="B17" i="61" s="1"/>
  <c r="B18" i="61" s="1"/>
  <c r="B19" i="61" s="1"/>
  <c r="B20" i="61" s="1"/>
  <c r="B21" i="61" s="1"/>
  <c r="G55" i="78" l="1"/>
  <c r="H55" i="78" l="1"/>
  <c r="L55" i="78" l="1"/>
  <c r="H28" i="78" l="1"/>
  <c r="L28" i="78" l="1"/>
  <c r="M12" i="77" l="1"/>
  <c r="L12" i="73" s="1"/>
  <c r="L25" i="73" l="1"/>
  <c r="E12" i="73"/>
  <c r="J12" i="77"/>
  <c r="L14" i="73"/>
  <c r="L24" i="74"/>
  <c r="E13" i="74" l="1"/>
  <c r="L13" i="74" s="1"/>
  <c r="L15" i="74" s="1"/>
  <c r="E24" i="74"/>
  <c r="L26" i="74"/>
  <c r="L36" i="73"/>
  <c r="F134" i="70" l="1"/>
  <c r="F135" i="70"/>
  <c r="F136" i="70"/>
  <c r="P31" i="70" l="1"/>
  <c r="J31" i="70"/>
  <c r="O31" i="70"/>
  <c r="K31" i="70"/>
  <c r="M12" i="93" l="1"/>
  <c r="H12" i="93"/>
  <c r="G14" i="93"/>
  <c r="E14" i="93"/>
  <c r="F12" i="93"/>
  <c r="F14" i="93" s="1"/>
  <c r="E13" i="55" l="1"/>
  <c r="E15" i="93"/>
  <c r="I12" i="93"/>
  <c r="I14" i="93" s="1"/>
  <c r="H14" i="93"/>
  <c r="G13" i="55"/>
  <c r="G17" i="54"/>
  <c r="E17" i="54"/>
  <c r="F17" i="54" s="1"/>
  <c r="L14" i="93"/>
  <c r="K14" i="93"/>
  <c r="H13" i="55" l="1"/>
  <c r="I13" i="55" s="1"/>
  <c r="H15" i="93"/>
  <c r="H17" i="54"/>
  <c r="I17" i="54" s="1"/>
  <c r="G21" i="55"/>
  <c r="G22" i="55" s="1"/>
  <c r="I27" i="58" s="1"/>
  <c r="G15" i="55"/>
  <c r="J11" i="55" s="1"/>
  <c r="F13" i="55"/>
  <c r="J20" i="55" l="1"/>
  <c r="J22" i="55" s="1"/>
  <c r="M27" i="58" s="1"/>
  <c r="J15" i="55"/>
  <c r="M16" i="77"/>
  <c r="N16" i="77" s="1"/>
  <c r="N25" i="77" l="1"/>
  <c r="M19" i="77"/>
  <c r="N19" i="77" s="1"/>
  <c r="M22" i="77"/>
  <c r="N22" i="77" s="1"/>
  <c r="M15" i="77"/>
  <c r="N15" i="77" s="1"/>
  <c r="M17" i="77"/>
  <c r="N17" i="77" s="1"/>
  <c r="M23" i="77"/>
  <c r="N23" i="77" s="1"/>
  <c r="M21" i="77"/>
  <c r="N21" i="77" s="1"/>
  <c r="M13" i="77"/>
  <c r="N13" i="77" s="1"/>
  <c r="M24" i="77"/>
  <c r="N24" i="77" s="1"/>
  <c r="M14" i="77"/>
  <c r="N14" i="77" s="1"/>
  <c r="M11" i="77"/>
  <c r="N11" i="77" s="1"/>
  <c r="M18" i="77"/>
  <c r="N18" i="77" s="1"/>
  <c r="H32" i="67" l="1"/>
  <c r="H16" i="67"/>
  <c r="H12" i="69"/>
  <c r="H14" i="69"/>
  <c r="H11" i="69"/>
  <c r="H13" i="68" l="1"/>
  <c r="H22" i="67"/>
  <c r="H34" i="67"/>
  <c r="H29" i="67"/>
  <c r="H12" i="68"/>
  <c r="H22" i="68"/>
  <c r="G21" i="69"/>
  <c r="P13" i="65" s="1"/>
  <c r="H17" i="68"/>
  <c r="H40" i="68"/>
  <c r="H14" i="68"/>
  <c r="H42" i="68"/>
  <c r="H21" i="68"/>
  <c r="H13" i="67"/>
  <c r="M13" i="75"/>
  <c r="G36" i="67"/>
  <c r="P11" i="65" s="1"/>
  <c r="H41" i="68"/>
  <c r="H12" i="67"/>
  <c r="H15" i="68"/>
  <c r="H16" i="68"/>
  <c r="H37" i="68"/>
  <c r="F21" i="69"/>
  <c r="O13" i="65" s="1"/>
  <c r="H10" i="69"/>
  <c r="H21" i="69" s="1"/>
  <c r="F36" i="67"/>
  <c r="O11" i="65" s="1"/>
  <c r="H11" i="67"/>
  <c r="F44" i="68"/>
  <c r="O12" i="65" s="1"/>
  <c r="H11" i="68"/>
  <c r="Q13" i="65" l="1"/>
  <c r="Q11" i="65"/>
  <c r="G38" i="67"/>
  <c r="G40" i="67" s="1"/>
  <c r="H36" i="67"/>
  <c r="H38" i="67" s="1"/>
  <c r="H44" i="68"/>
  <c r="H46" i="68" s="1"/>
  <c r="G44" i="68"/>
  <c r="F46" i="68"/>
  <c r="F38" i="67"/>
  <c r="F40" i="67" s="1"/>
  <c r="G46" i="68" l="1"/>
  <c r="P12" i="65"/>
  <c r="Q12" i="65" s="1"/>
  <c r="Q12" i="79" l="1"/>
  <c r="P12" i="79"/>
  <c r="Q11" i="79"/>
  <c r="P11" i="79"/>
  <c r="K12" i="79"/>
  <c r="K11" i="79"/>
  <c r="H11" i="79"/>
  <c r="I12" i="79" l="1"/>
  <c r="I11" i="79"/>
  <c r="J11" i="79" s="1"/>
  <c r="H40" i="67" l="1"/>
  <c r="M15" i="79" l="1"/>
  <c r="M12" i="79"/>
  <c r="M11" i="79"/>
  <c r="L15" i="79" l="1"/>
  <c r="N15" i="79" s="1"/>
  <c r="L16" i="79"/>
  <c r="L12" i="79"/>
  <c r="L11" i="79"/>
  <c r="N12" i="79" l="1"/>
  <c r="O12" i="79" s="1"/>
  <c r="N11" i="79"/>
  <c r="O11" i="79" s="1"/>
  <c r="N16" i="62"/>
  <c r="L17" i="79"/>
  <c r="C27" i="71" l="1"/>
  <c r="G30" i="72" s="1"/>
  <c r="G12" i="73" s="1"/>
  <c r="O16" i="62"/>
  <c r="G14" i="73" l="1"/>
  <c r="M21" i="72" l="1"/>
  <c r="M23" i="72" s="1"/>
  <c r="K27" i="77" l="1"/>
  <c r="L27" i="77"/>
  <c r="P23" i="58" s="1"/>
  <c r="M20" i="77" l="1"/>
  <c r="N20" i="77" s="1"/>
  <c r="M27" i="77"/>
  <c r="O23" i="58"/>
  <c r="Q23" i="58" s="1"/>
  <c r="N23" i="58" l="1"/>
  <c r="R23" i="58" s="1"/>
  <c r="F129" i="70"/>
  <c r="F124" i="70"/>
  <c r="D39" i="67" l="1"/>
  <c r="E39" i="67" l="1"/>
  <c r="L12" i="78" l="1"/>
  <c r="D85" i="70" l="1"/>
  <c r="F122" i="70" l="1"/>
  <c r="M12" i="72" l="1"/>
  <c r="M14" i="72" s="1"/>
  <c r="K14" i="72"/>
  <c r="K23" i="72" l="1"/>
  <c r="I46" i="54" l="1"/>
  <c r="Q56" i="91" l="1"/>
  <c r="Q60" i="91"/>
  <c r="E21" i="72" l="1"/>
  <c r="T86" i="70" l="1"/>
  <c r="E113" i="70" l="1"/>
  <c r="J113" i="70" s="1"/>
  <c r="O113" i="70" s="1"/>
  <c r="T113" i="70" s="1"/>
  <c r="E62" i="103"/>
  <c r="J62" i="103" s="1"/>
  <c r="O62" i="103" s="1"/>
  <c r="T62" i="103" s="1"/>
  <c r="Y62" i="103" s="1"/>
  <c r="N12" i="93" l="1"/>
  <c r="N14" i="93" s="1"/>
  <c r="M14" i="93"/>
  <c r="M15" i="93" s="1"/>
  <c r="K17" i="54" l="1"/>
  <c r="K13" i="55"/>
  <c r="L17" i="54" l="1"/>
  <c r="L13" i="55"/>
  <c r="J25" i="58" l="1"/>
  <c r="F25" i="58"/>
  <c r="N25" i="58" l="1"/>
  <c r="O25" i="58"/>
  <c r="P25" i="58" s="1"/>
  <c r="L32" i="72" l="1"/>
  <c r="M32" i="72" l="1"/>
  <c r="F30" i="72"/>
  <c r="D30" i="72"/>
  <c r="J30" i="72"/>
  <c r="C12" i="73"/>
  <c r="K12" i="73" l="1"/>
  <c r="K14" i="73" s="1"/>
  <c r="J12" i="73"/>
  <c r="N30" i="72"/>
  <c r="J14" i="73" l="1"/>
  <c r="N12" i="73"/>
  <c r="N14" i="73" s="1"/>
  <c r="E52" i="116" l="1"/>
  <c r="E44" i="116"/>
  <c r="O46" i="116"/>
  <c r="J56" i="116"/>
  <c r="J54" i="116"/>
  <c r="J48" i="116"/>
  <c r="J46" i="116"/>
  <c r="O54" i="116" l="1"/>
  <c r="J42" i="116"/>
  <c r="O48" i="116"/>
  <c r="O56" i="116"/>
  <c r="E46" i="116"/>
  <c r="E54" i="116"/>
  <c r="O42" i="116"/>
  <c r="O50" i="116"/>
  <c r="E48" i="116"/>
  <c r="E56" i="116"/>
  <c r="J44" i="116"/>
  <c r="J52" i="116"/>
  <c r="O44" i="116"/>
  <c r="E42" i="116"/>
  <c r="J50" i="116"/>
  <c r="J41" i="116"/>
  <c r="J49" i="116"/>
  <c r="O47" i="116"/>
  <c r="O55" i="116"/>
  <c r="E45" i="116"/>
  <c r="E53" i="116"/>
  <c r="J43" i="116"/>
  <c r="J51" i="116"/>
  <c r="O41" i="116"/>
  <c r="O49" i="116"/>
  <c r="E47" i="116"/>
  <c r="E55" i="116"/>
  <c r="E43" i="116"/>
  <c r="O52" i="116"/>
  <c r="E50" i="116"/>
  <c r="J47" i="116"/>
  <c r="J55" i="116"/>
  <c r="O45" i="116"/>
  <c r="O53" i="116"/>
  <c r="E51" i="116"/>
  <c r="J45" i="116"/>
  <c r="J53" i="116"/>
  <c r="O43" i="116"/>
  <c r="O51" i="116"/>
  <c r="E41" i="116"/>
  <c r="E49" i="116"/>
  <c r="J57" i="70"/>
  <c r="J40" i="116"/>
  <c r="E40" i="116"/>
  <c r="E57" i="70"/>
  <c r="J33" i="103"/>
  <c r="O33" i="103"/>
  <c r="O57" i="70"/>
  <c r="O40" i="116"/>
  <c r="T33" i="103"/>
  <c r="T17" i="116" l="1"/>
  <c r="T25" i="116"/>
  <c r="T16" i="116"/>
  <c r="T24" i="116"/>
  <c r="T15" i="116"/>
  <c r="T23" i="116"/>
  <c r="T18" i="116"/>
  <c r="T26" i="116"/>
  <c r="T22" i="116"/>
  <c r="T30" i="116"/>
  <c r="E57" i="116"/>
  <c r="T21" i="116"/>
  <c r="T29" i="116"/>
  <c r="T20" i="116"/>
  <c r="T28" i="116"/>
  <c r="J57" i="116"/>
  <c r="O57" i="116"/>
  <c r="T19" i="116"/>
  <c r="T27" i="116"/>
  <c r="T31" i="70"/>
  <c r="T14" i="116"/>
  <c r="E33" i="103"/>
  <c r="P12" i="93" l="1"/>
  <c r="P14" i="93" s="1"/>
  <c r="P15" i="93" s="1"/>
  <c r="R12" i="93"/>
  <c r="R14" i="93" s="1"/>
  <c r="R15" i="93" s="1"/>
  <c r="Q12" i="93"/>
  <c r="T31" i="116"/>
  <c r="Q14" i="93"/>
  <c r="Q15" i="93" s="1"/>
  <c r="O12" i="93" l="1"/>
  <c r="O14" i="93" s="1"/>
  <c r="O15" i="93" s="1"/>
  <c r="F56" i="55"/>
  <c r="O17" i="54"/>
  <c r="E56" i="55"/>
  <c r="N17" i="54"/>
  <c r="G56" i="55"/>
  <c r="P17" i="54"/>
  <c r="M17" i="54" l="1"/>
  <c r="D56" i="55"/>
  <c r="U31" i="70" l="1"/>
  <c r="K57" i="70"/>
  <c r="F57" i="70"/>
  <c r="U57" i="70"/>
  <c r="P57" i="70"/>
  <c r="T57" i="70"/>
  <c r="T56" i="116"/>
  <c r="T55" i="116"/>
  <c r="T54" i="116"/>
  <c r="T53" i="116"/>
  <c r="T52" i="116"/>
  <c r="T51" i="116"/>
  <c r="T50" i="116"/>
  <c r="T49" i="116"/>
  <c r="T48" i="116"/>
  <c r="T47" i="116"/>
  <c r="T46" i="116"/>
  <c r="T45" i="116"/>
  <c r="T44" i="116"/>
  <c r="T43" i="116"/>
  <c r="T42" i="116"/>
  <c r="T41" i="116"/>
  <c r="U56" i="116"/>
  <c r="U55" i="116"/>
  <c r="U54" i="116"/>
  <c r="U53" i="116"/>
  <c r="U52" i="116"/>
  <c r="U51" i="116"/>
  <c r="U50" i="116"/>
  <c r="U49" i="116"/>
  <c r="U48" i="116"/>
  <c r="U47" i="116"/>
  <c r="U46" i="116"/>
  <c r="U45" i="116"/>
  <c r="U44" i="116"/>
  <c r="U43" i="116"/>
  <c r="U42" i="116"/>
  <c r="U41" i="116"/>
  <c r="P56" i="116"/>
  <c r="P55" i="116"/>
  <c r="P54" i="116"/>
  <c r="P53" i="116"/>
  <c r="P52" i="116"/>
  <c r="P51" i="116"/>
  <c r="P50" i="116"/>
  <c r="P49" i="116"/>
  <c r="P48" i="116"/>
  <c r="P47" i="116"/>
  <c r="P46" i="116"/>
  <c r="P45" i="116"/>
  <c r="P44" i="116"/>
  <c r="P43" i="116"/>
  <c r="P42" i="116"/>
  <c r="P41" i="116"/>
  <c r="K56" i="116"/>
  <c r="K55" i="116"/>
  <c r="K54" i="116"/>
  <c r="K53" i="116"/>
  <c r="K52" i="116"/>
  <c r="K51" i="116"/>
  <c r="K50" i="116"/>
  <c r="K49" i="116"/>
  <c r="K48" i="116"/>
  <c r="K47" i="116"/>
  <c r="K46" i="116"/>
  <c r="K45" i="116"/>
  <c r="K44" i="116"/>
  <c r="K43" i="116"/>
  <c r="K42" i="116"/>
  <c r="K41" i="116"/>
  <c r="F56" i="116"/>
  <c r="F55" i="116"/>
  <c r="F54" i="116"/>
  <c r="F53" i="116"/>
  <c r="F52" i="116"/>
  <c r="F51" i="116"/>
  <c r="F50" i="116"/>
  <c r="F49" i="116"/>
  <c r="F48" i="116"/>
  <c r="F47" i="116"/>
  <c r="F46" i="116"/>
  <c r="F45" i="116"/>
  <c r="F44" i="116"/>
  <c r="F43" i="116"/>
  <c r="F42" i="116"/>
  <c r="F41" i="116"/>
  <c r="F33" i="103" l="1"/>
  <c r="F70" i="103"/>
  <c r="U14" i="116"/>
  <c r="F78" i="103"/>
  <c r="U22" i="116"/>
  <c r="F86" i="103"/>
  <c r="U30" i="116"/>
  <c r="D77" i="103"/>
  <c r="H23" i="103"/>
  <c r="I23" i="103" s="1"/>
  <c r="H31" i="103"/>
  <c r="I31" i="103" s="1"/>
  <c r="F71" i="103"/>
  <c r="U15" i="116"/>
  <c r="F79" i="103"/>
  <c r="U23" i="116"/>
  <c r="D33" i="103"/>
  <c r="D70" i="103"/>
  <c r="H16" i="103"/>
  <c r="D78" i="103"/>
  <c r="H24" i="103"/>
  <c r="I24" i="103" s="1"/>
  <c r="D86" i="103"/>
  <c r="H32" i="103"/>
  <c r="I32" i="103" s="1"/>
  <c r="K33" i="103"/>
  <c r="F40" i="116"/>
  <c r="F57" i="116" s="1"/>
  <c r="F72" i="103"/>
  <c r="U16" i="116"/>
  <c r="F80" i="103"/>
  <c r="U24" i="116"/>
  <c r="D71" i="103"/>
  <c r="H17" i="103"/>
  <c r="I17" i="103" s="1"/>
  <c r="D79" i="103"/>
  <c r="H25" i="103"/>
  <c r="I25" i="103" s="1"/>
  <c r="P33" i="103"/>
  <c r="K40" i="116"/>
  <c r="K57" i="116" s="1"/>
  <c r="F73" i="103"/>
  <c r="U17" i="116"/>
  <c r="F81" i="103"/>
  <c r="U25" i="116"/>
  <c r="D72" i="103"/>
  <c r="H18" i="103"/>
  <c r="I18" i="103" s="1"/>
  <c r="D80" i="103"/>
  <c r="H26" i="103"/>
  <c r="I26" i="103" s="1"/>
  <c r="F74" i="103"/>
  <c r="U18" i="116"/>
  <c r="F82" i="103"/>
  <c r="U26" i="116"/>
  <c r="D73" i="103"/>
  <c r="H19" i="103"/>
  <c r="I19" i="103" s="1"/>
  <c r="D81" i="103"/>
  <c r="H27" i="103"/>
  <c r="I27" i="103" s="1"/>
  <c r="U33" i="103"/>
  <c r="P40" i="116"/>
  <c r="P57" i="116" s="1"/>
  <c r="F75" i="103"/>
  <c r="U19" i="116"/>
  <c r="F83" i="103"/>
  <c r="U27" i="116"/>
  <c r="D74" i="103"/>
  <c r="H20" i="103"/>
  <c r="I20" i="103" s="1"/>
  <c r="D82" i="103"/>
  <c r="H28" i="103"/>
  <c r="I28" i="103" s="1"/>
  <c r="Z33" i="103"/>
  <c r="U40" i="116"/>
  <c r="U57" i="116" s="1"/>
  <c r="F76" i="103"/>
  <c r="U20" i="116"/>
  <c r="F84" i="103"/>
  <c r="U28" i="116"/>
  <c r="D75" i="103"/>
  <c r="H21" i="103"/>
  <c r="I21" i="103" s="1"/>
  <c r="D83" i="103"/>
  <c r="H29" i="103"/>
  <c r="I29" i="103" s="1"/>
  <c r="Y33" i="103"/>
  <c r="T40" i="116"/>
  <c r="T57" i="116" s="1"/>
  <c r="F77" i="103"/>
  <c r="U21" i="116"/>
  <c r="U29" i="116"/>
  <c r="D76" i="103"/>
  <c r="H22" i="103"/>
  <c r="I22" i="103" s="1"/>
  <c r="D84" i="103"/>
  <c r="H30" i="103"/>
  <c r="I30" i="103" s="1"/>
  <c r="M28" i="103" l="1"/>
  <c r="N28" i="103" s="1"/>
  <c r="M26" i="103"/>
  <c r="N26" i="103" s="1"/>
  <c r="U31" i="116"/>
  <c r="M25" i="103"/>
  <c r="N25" i="103" s="1"/>
  <c r="S12" i="93"/>
  <c r="M21" i="103"/>
  <c r="N21" i="103" s="1"/>
  <c r="M27" i="103"/>
  <c r="N27" i="103" s="1"/>
  <c r="M32" i="103"/>
  <c r="N32" i="103" s="1"/>
  <c r="I16" i="103"/>
  <c r="H33" i="103"/>
  <c r="M31" i="103"/>
  <c r="N31" i="103" s="1"/>
  <c r="M30" i="103"/>
  <c r="N30" i="103" s="1"/>
  <c r="M20" i="103"/>
  <c r="N20" i="103" s="1"/>
  <c r="M19" i="103"/>
  <c r="N19" i="103" s="1"/>
  <c r="M18" i="103"/>
  <c r="N18" i="103" s="1"/>
  <c r="M17" i="103"/>
  <c r="N17" i="103" s="1"/>
  <c r="M24" i="103"/>
  <c r="N24" i="103" s="1"/>
  <c r="M22" i="103"/>
  <c r="N22" i="103" s="1"/>
  <c r="M29" i="103"/>
  <c r="N29" i="103" s="1"/>
  <c r="M23" i="103"/>
  <c r="N23" i="103" s="1"/>
  <c r="R23" i="103" l="1"/>
  <c r="S23" i="103" s="1"/>
  <c r="R32" i="103"/>
  <c r="S32" i="103" s="1"/>
  <c r="R26" i="103"/>
  <c r="S26" i="103" s="1"/>
  <c r="R28" i="103"/>
  <c r="S28" i="103" s="1"/>
  <c r="R22" i="103"/>
  <c r="S22" i="103" s="1"/>
  <c r="R24" i="103"/>
  <c r="S24" i="103" s="1"/>
  <c r="R20" i="103"/>
  <c r="S20" i="103" s="1"/>
  <c r="R25" i="103"/>
  <c r="S25" i="103" s="1"/>
  <c r="R29" i="103"/>
  <c r="S29" i="103" s="1"/>
  <c r="I33" i="103"/>
  <c r="M16" i="103"/>
  <c r="R19" i="103"/>
  <c r="S19" i="103" s="1"/>
  <c r="R30" i="103"/>
  <c r="S30" i="103" s="1"/>
  <c r="R17" i="103"/>
  <c r="S17" i="103" s="1"/>
  <c r="R18" i="103"/>
  <c r="S18" i="103" s="1"/>
  <c r="R31" i="103"/>
  <c r="S31" i="103" s="1"/>
  <c r="S14" i="93"/>
  <c r="S15" i="93" s="1"/>
  <c r="R27" i="103"/>
  <c r="S27" i="103" s="1"/>
  <c r="R21" i="103"/>
  <c r="S21" i="103" s="1"/>
  <c r="W26" i="103" l="1"/>
  <c r="X26" i="103" s="1"/>
  <c r="W32" i="103"/>
  <c r="X32" i="103" s="1"/>
  <c r="W23" i="103"/>
  <c r="X23" i="103" s="1"/>
  <c r="W27" i="103"/>
  <c r="X27" i="103" s="1"/>
  <c r="W30" i="103"/>
  <c r="X30" i="103" s="1"/>
  <c r="W19" i="103"/>
  <c r="X19" i="103" s="1"/>
  <c r="N16" i="103"/>
  <c r="M33" i="103"/>
  <c r="W25" i="103"/>
  <c r="X25" i="103" s="1"/>
  <c r="W24" i="103"/>
  <c r="X24" i="103" s="1"/>
  <c r="W18" i="103"/>
  <c r="X18" i="103" s="1"/>
  <c r="W20" i="103"/>
  <c r="X20" i="103" s="1"/>
  <c r="W31" i="103"/>
  <c r="X31" i="103" s="1"/>
  <c r="W17" i="103"/>
  <c r="X17" i="103" s="1"/>
  <c r="W28" i="103"/>
  <c r="X28" i="103" s="1"/>
  <c r="H56" i="55"/>
  <c r="Q17" i="54"/>
  <c r="W22" i="103"/>
  <c r="X22" i="103" s="1"/>
  <c r="W29" i="103"/>
  <c r="X29" i="103" s="1"/>
  <c r="W21" i="103"/>
  <c r="X21" i="103" s="1"/>
  <c r="AB28" i="103" l="1"/>
  <c r="AB29" i="103"/>
  <c r="AB19" i="103"/>
  <c r="AB23" i="103"/>
  <c r="AB31" i="103"/>
  <c r="N33" i="103"/>
  <c r="R16" i="103"/>
  <c r="AB21" i="103"/>
  <c r="AB27" i="103"/>
  <c r="AB30" i="103"/>
  <c r="AB26" i="103"/>
  <c r="AB17" i="103"/>
  <c r="AB20" i="103"/>
  <c r="AB18" i="103"/>
  <c r="AB24" i="103"/>
  <c r="AB25" i="103"/>
  <c r="AB22" i="103"/>
  <c r="AB32" i="103"/>
  <c r="S16" i="103" l="1"/>
  <c r="R33" i="103"/>
  <c r="S33" i="103" l="1"/>
  <c r="W16" i="103"/>
  <c r="W33" i="103" l="1"/>
  <c r="X16" i="103"/>
  <c r="X33" i="103" l="1"/>
  <c r="AB16" i="103"/>
  <c r="AB33" i="103" s="1"/>
  <c r="R19" i="62" l="1"/>
  <c r="R17" i="62"/>
  <c r="S17" i="62"/>
  <c r="S19" i="62"/>
  <c r="P17" i="62"/>
  <c r="P19" i="62"/>
  <c r="T17" i="62"/>
  <c r="R16" i="79" s="1"/>
  <c r="T19" i="62"/>
  <c r="Q19" i="62"/>
  <c r="Q17" i="62"/>
  <c r="P16" i="79" l="1"/>
  <c r="Q16" i="79"/>
  <c r="E54" i="103" l="1"/>
  <c r="E58" i="103"/>
  <c r="E45" i="103"/>
  <c r="E44" i="103"/>
  <c r="E49" i="103"/>
  <c r="E46" i="103"/>
  <c r="E47" i="103"/>
  <c r="E50" i="103"/>
  <c r="E55" i="103"/>
  <c r="E52" i="103"/>
  <c r="E51" i="103"/>
  <c r="E48" i="103"/>
  <c r="E56" i="103"/>
  <c r="E60" i="103"/>
  <c r="E53" i="103"/>
  <c r="E57" i="103"/>
  <c r="H47" i="103" l="1"/>
  <c r="I47" i="103" s="1"/>
  <c r="E73" i="103"/>
  <c r="H73" i="103" s="1"/>
  <c r="H53" i="103"/>
  <c r="I53" i="103" s="1"/>
  <c r="E79" i="103"/>
  <c r="H79" i="103" s="1"/>
  <c r="H55" i="103"/>
  <c r="I55" i="103" s="1"/>
  <c r="E81" i="103"/>
  <c r="H81" i="103" s="1"/>
  <c r="H45" i="103"/>
  <c r="I45" i="103" s="1"/>
  <c r="E71" i="103"/>
  <c r="H71" i="103" s="1"/>
  <c r="H49" i="103"/>
  <c r="I49" i="103" s="1"/>
  <c r="E75" i="103"/>
  <c r="H75" i="103" s="1"/>
  <c r="H54" i="103"/>
  <c r="I54" i="103" s="1"/>
  <c r="E80" i="103"/>
  <c r="H80" i="103" s="1"/>
  <c r="H50" i="103"/>
  <c r="I50" i="103" s="1"/>
  <c r="E76" i="103"/>
  <c r="H76" i="103" s="1"/>
  <c r="H58" i="103"/>
  <c r="I58" i="103" s="1"/>
  <c r="E84" i="103"/>
  <c r="H84" i="103" s="1"/>
  <c r="H57" i="103"/>
  <c r="I57" i="103" s="1"/>
  <c r="E83" i="103"/>
  <c r="H83" i="103" s="1"/>
  <c r="H56" i="103"/>
  <c r="I56" i="103" s="1"/>
  <c r="E82" i="103"/>
  <c r="H82" i="103" s="1"/>
  <c r="H51" i="103"/>
  <c r="I51" i="103" s="1"/>
  <c r="E77" i="103"/>
  <c r="H77" i="103" s="1"/>
  <c r="H52" i="103"/>
  <c r="I52" i="103" s="1"/>
  <c r="E78" i="103"/>
  <c r="H78" i="103" s="1"/>
  <c r="H44" i="103"/>
  <c r="E70" i="103"/>
  <c r="H60" i="103"/>
  <c r="I60" i="103" s="1"/>
  <c r="E86" i="103"/>
  <c r="H86" i="103" s="1"/>
  <c r="H48" i="103"/>
  <c r="I48" i="103" s="1"/>
  <c r="E74" i="103"/>
  <c r="H74" i="103" s="1"/>
  <c r="H46" i="103"/>
  <c r="I46" i="103" s="1"/>
  <c r="E72" i="103"/>
  <c r="H72" i="103" s="1"/>
  <c r="K48" i="103" l="1"/>
  <c r="K74" i="103" s="1"/>
  <c r="J48" i="103"/>
  <c r="I74" i="103"/>
  <c r="H70" i="103"/>
  <c r="K52" i="103"/>
  <c r="K78" i="103" s="1"/>
  <c r="J52" i="103"/>
  <c r="I78" i="103"/>
  <c r="K49" i="103"/>
  <c r="K75" i="103" s="1"/>
  <c r="J49" i="103"/>
  <c r="I75" i="103"/>
  <c r="K45" i="103"/>
  <c r="K71" i="103" s="1"/>
  <c r="J45" i="103"/>
  <c r="I71" i="103"/>
  <c r="I44" i="103"/>
  <c r="K60" i="103"/>
  <c r="K86" i="103" s="1"/>
  <c r="J60" i="103"/>
  <c r="I86" i="103"/>
  <c r="K51" i="103"/>
  <c r="K77" i="103" s="1"/>
  <c r="J51" i="103"/>
  <c r="I77" i="103"/>
  <c r="K54" i="103"/>
  <c r="K80" i="103" s="1"/>
  <c r="J54" i="103"/>
  <c r="I80" i="103"/>
  <c r="K47" i="103"/>
  <c r="K73" i="103" s="1"/>
  <c r="J47" i="103"/>
  <c r="I73" i="103"/>
  <c r="K57" i="103"/>
  <c r="K83" i="103" s="1"/>
  <c r="J57" i="103"/>
  <c r="I83" i="103"/>
  <c r="K55" i="103"/>
  <c r="K81" i="103" s="1"/>
  <c r="J55" i="103"/>
  <c r="I81" i="103"/>
  <c r="K53" i="103"/>
  <c r="K79" i="103" s="1"/>
  <c r="J53" i="103"/>
  <c r="I79" i="103"/>
  <c r="K56" i="103"/>
  <c r="K82" i="103" s="1"/>
  <c r="J56" i="103"/>
  <c r="I82" i="103"/>
  <c r="K50" i="103"/>
  <c r="K76" i="103" s="1"/>
  <c r="J50" i="103"/>
  <c r="I76" i="103"/>
  <c r="K46" i="103"/>
  <c r="K72" i="103" s="1"/>
  <c r="J46" i="103"/>
  <c r="I72" i="103"/>
  <c r="K58" i="103"/>
  <c r="K84" i="103" s="1"/>
  <c r="J58" i="103"/>
  <c r="I84" i="103"/>
  <c r="M58" i="103" l="1"/>
  <c r="N58" i="103" s="1"/>
  <c r="J84" i="103"/>
  <c r="M84" i="103" s="1"/>
  <c r="M56" i="103"/>
  <c r="N56" i="103" s="1"/>
  <c r="J82" i="103"/>
  <c r="M82" i="103" s="1"/>
  <c r="M57" i="103"/>
  <c r="N57" i="103" s="1"/>
  <c r="J83" i="103"/>
  <c r="M83" i="103" s="1"/>
  <c r="M60" i="103"/>
  <c r="N60" i="103" s="1"/>
  <c r="J86" i="103"/>
  <c r="M86" i="103" s="1"/>
  <c r="M49" i="103"/>
  <c r="N49" i="103" s="1"/>
  <c r="J75" i="103"/>
  <c r="M75" i="103" s="1"/>
  <c r="M55" i="103"/>
  <c r="N55" i="103" s="1"/>
  <c r="J81" i="103"/>
  <c r="M81" i="103" s="1"/>
  <c r="M45" i="103"/>
  <c r="N45" i="103" s="1"/>
  <c r="J71" i="103"/>
  <c r="M71" i="103" s="1"/>
  <c r="M54" i="103"/>
  <c r="N54" i="103" s="1"/>
  <c r="J80" i="103"/>
  <c r="M80" i="103" s="1"/>
  <c r="M53" i="103"/>
  <c r="N53" i="103" s="1"/>
  <c r="J79" i="103"/>
  <c r="M79" i="103" s="1"/>
  <c r="M51" i="103"/>
  <c r="N51" i="103" s="1"/>
  <c r="J77" i="103"/>
  <c r="M77" i="103" s="1"/>
  <c r="M52" i="103"/>
  <c r="N52" i="103" s="1"/>
  <c r="J78" i="103"/>
  <c r="M78" i="103" s="1"/>
  <c r="M48" i="103"/>
  <c r="N48" i="103" s="1"/>
  <c r="J74" i="103"/>
  <c r="M74" i="103" s="1"/>
  <c r="M46" i="103"/>
  <c r="N46" i="103" s="1"/>
  <c r="J72" i="103"/>
  <c r="M72" i="103" s="1"/>
  <c r="M50" i="103"/>
  <c r="N50" i="103" s="1"/>
  <c r="J76" i="103"/>
  <c r="M76" i="103" s="1"/>
  <c r="M47" i="103"/>
  <c r="N47" i="103" s="1"/>
  <c r="J73" i="103"/>
  <c r="M73" i="103" s="1"/>
  <c r="K44" i="103"/>
  <c r="J44" i="103"/>
  <c r="I70" i="103"/>
  <c r="M44" i="103" l="1"/>
  <c r="N44" i="103" s="1"/>
  <c r="P47" i="103"/>
  <c r="P73" i="103" s="1"/>
  <c r="O47" i="103"/>
  <c r="N73" i="103"/>
  <c r="P51" i="103"/>
  <c r="P77" i="103" s="1"/>
  <c r="O51" i="103"/>
  <c r="N77" i="103"/>
  <c r="P60" i="103"/>
  <c r="P86" i="103" s="1"/>
  <c r="O60" i="103"/>
  <c r="N86" i="103"/>
  <c r="P53" i="103"/>
  <c r="P79" i="103" s="1"/>
  <c r="O53" i="103"/>
  <c r="N79" i="103"/>
  <c r="P55" i="103"/>
  <c r="P81" i="103" s="1"/>
  <c r="O55" i="103"/>
  <c r="N81" i="103"/>
  <c r="P58" i="103"/>
  <c r="P84" i="103" s="1"/>
  <c r="O58" i="103"/>
  <c r="N84" i="103"/>
  <c r="J70" i="103"/>
  <c r="P48" i="103"/>
  <c r="P74" i="103" s="1"/>
  <c r="O48" i="103"/>
  <c r="N74" i="103"/>
  <c r="P49" i="103"/>
  <c r="P75" i="103" s="1"/>
  <c r="O49" i="103"/>
  <c r="N75" i="103"/>
  <c r="P57" i="103"/>
  <c r="P83" i="103" s="1"/>
  <c r="O57" i="103"/>
  <c r="N83" i="103"/>
  <c r="K70" i="103"/>
  <c r="P54" i="103"/>
  <c r="P80" i="103" s="1"/>
  <c r="O54" i="103"/>
  <c r="N80" i="103"/>
  <c r="P56" i="103"/>
  <c r="P82" i="103" s="1"/>
  <c r="O56" i="103"/>
  <c r="N82" i="103"/>
  <c r="P46" i="103"/>
  <c r="P72" i="103" s="1"/>
  <c r="O46" i="103"/>
  <c r="N72" i="103"/>
  <c r="P45" i="103"/>
  <c r="P71" i="103" s="1"/>
  <c r="O45" i="103"/>
  <c r="N71" i="103"/>
  <c r="P50" i="103"/>
  <c r="P76" i="103" s="1"/>
  <c r="O50" i="103"/>
  <c r="N76" i="103"/>
  <c r="P52" i="103"/>
  <c r="P78" i="103" s="1"/>
  <c r="O52" i="103"/>
  <c r="N78" i="103"/>
  <c r="R48" i="103" l="1"/>
  <c r="S48" i="103" s="1"/>
  <c r="O74" i="103"/>
  <c r="R74" i="103" s="1"/>
  <c r="R45" i="103"/>
  <c r="S45" i="103" s="1"/>
  <c r="O71" i="103"/>
  <c r="R71" i="103" s="1"/>
  <c r="R54" i="103"/>
  <c r="S54" i="103" s="1"/>
  <c r="O80" i="103"/>
  <c r="R80" i="103" s="1"/>
  <c r="R56" i="103"/>
  <c r="S56" i="103" s="1"/>
  <c r="O82" i="103"/>
  <c r="R82" i="103" s="1"/>
  <c r="R49" i="103"/>
  <c r="S49" i="103" s="1"/>
  <c r="O75" i="103"/>
  <c r="R75" i="103" s="1"/>
  <c r="R60" i="103"/>
  <c r="S60" i="103" s="1"/>
  <c r="O86" i="103"/>
  <c r="R86" i="103" s="1"/>
  <c r="R47" i="103"/>
  <c r="S47" i="103" s="1"/>
  <c r="O73" i="103"/>
  <c r="R73" i="103" s="1"/>
  <c r="R55" i="103"/>
  <c r="S55" i="103" s="1"/>
  <c r="O81" i="103"/>
  <c r="R81" i="103" s="1"/>
  <c r="R50" i="103"/>
  <c r="S50" i="103" s="1"/>
  <c r="O76" i="103"/>
  <c r="R76" i="103" s="1"/>
  <c r="M70" i="103"/>
  <c r="F59" i="103"/>
  <c r="E59" i="103"/>
  <c r="D85" i="103"/>
  <c r="D87" i="103" s="1"/>
  <c r="R58" i="103"/>
  <c r="S58" i="103" s="1"/>
  <c r="O84" i="103"/>
  <c r="R84" i="103" s="1"/>
  <c r="R51" i="103"/>
  <c r="S51" i="103" s="1"/>
  <c r="O77" i="103"/>
  <c r="R77" i="103" s="1"/>
  <c r="R52" i="103"/>
  <c r="S52" i="103" s="1"/>
  <c r="O78" i="103"/>
  <c r="R78" i="103" s="1"/>
  <c r="R46" i="103"/>
  <c r="S46" i="103" s="1"/>
  <c r="O72" i="103"/>
  <c r="R72" i="103" s="1"/>
  <c r="R57" i="103"/>
  <c r="S57" i="103" s="1"/>
  <c r="O83" i="103"/>
  <c r="R83" i="103" s="1"/>
  <c r="R53" i="103"/>
  <c r="S53" i="103" s="1"/>
  <c r="O79" i="103"/>
  <c r="R79" i="103" s="1"/>
  <c r="P44" i="103"/>
  <c r="O44" i="103"/>
  <c r="R44" i="103" s="1"/>
  <c r="N70" i="103"/>
  <c r="S44" i="103" l="1"/>
  <c r="U50" i="103"/>
  <c r="U76" i="103" s="1"/>
  <c r="T50" i="103"/>
  <c r="S76" i="103"/>
  <c r="U56" i="103"/>
  <c r="U82" i="103" s="1"/>
  <c r="T56" i="103"/>
  <c r="S82" i="103"/>
  <c r="U45" i="103"/>
  <c r="U71" i="103" s="1"/>
  <c r="T45" i="103"/>
  <c r="S71" i="103"/>
  <c r="U53" i="103"/>
  <c r="U79" i="103" s="1"/>
  <c r="T53" i="103"/>
  <c r="S79" i="103"/>
  <c r="U51" i="103"/>
  <c r="U77" i="103" s="1"/>
  <c r="T51" i="103"/>
  <c r="S77" i="103"/>
  <c r="U46" i="103"/>
  <c r="U72" i="103" s="1"/>
  <c r="T46" i="103"/>
  <c r="S72" i="103"/>
  <c r="U47" i="103"/>
  <c r="U73" i="103" s="1"/>
  <c r="T47" i="103"/>
  <c r="S73" i="103"/>
  <c r="H59" i="103"/>
  <c r="E85" i="103"/>
  <c r="E61" i="103"/>
  <c r="U49" i="103"/>
  <c r="U75" i="103" s="1"/>
  <c r="T49" i="103"/>
  <c r="S75" i="103"/>
  <c r="U57" i="103"/>
  <c r="U83" i="103" s="1"/>
  <c r="T57" i="103"/>
  <c r="S83" i="103"/>
  <c r="U52" i="103"/>
  <c r="U78" i="103" s="1"/>
  <c r="T52" i="103"/>
  <c r="S78" i="103"/>
  <c r="F61" i="103"/>
  <c r="F85" i="103"/>
  <c r="F87" i="103" s="1"/>
  <c r="U48" i="103"/>
  <c r="U74" i="103" s="1"/>
  <c r="T48" i="103"/>
  <c r="S74" i="103"/>
  <c r="O70" i="103"/>
  <c r="U55" i="103"/>
  <c r="U81" i="103" s="1"/>
  <c r="T55" i="103"/>
  <c r="S81" i="103"/>
  <c r="U60" i="103"/>
  <c r="U86" i="103" s="1"/>
  <c r="T60" i="103"/>
  <c r="S86" i="103"/>
  <c r="P70" i="103"/>
  <c r="U58" i="103"/>
  <c r="U84" i="103" s="1"/>
  <c r="T58" i="103"/>
  <c r="S84" i="103"/>
  <c r="U54" i="103"/>
  <c r="U80" i="103" s="1"/>
  <c r="T54" i="103"/>
  <c r="S80" i="103"/>
  <c r="W55" i="103" l="1"/>
  <c r="X55" i="103" s="1"/>
  <c r="T81" i="103"/>
  <c r="W81" i="103" s="1"/>
  <c r="W49" i="103"/>
  <c r="X49" i="103" s="1"/>
  <c r="T75" i="103"/>
  <c r="W75" i="103" s="1"/>
  <c r="H85" i="103"/>
  <c r="H87" i="103" s="1"/>
  <c r="E87" i="103"/>
  <c r="W47" i="103"/>
  <c r="X47" i="103" s="1"/>
  <c r="T73" i="103"/>
  <c r="W73" i="103" s="1"/>
  <c r="W54" i="103"/>
  <c r="X54" i="103" s="1"/>
  <c r="T80" i="103"/>
  <c r="W80" i="103" s="1"/>
  <c r="W58" i="103"/>
  <c r="X58" i="103" s="1"/>
  <c r="T84" i="103"/>
  <c r="W84" i="103" s="1"/>
  <c r="W48" i="103"/>
  <c r="X48" i="103" s="1"/>
  <c r="T74" i="103"/>
  <c r="W74" i="103" s="1"/>
  <c r="I59" i="103"/>
  <c r="H61" i="103"/>
  <c r="W50" i="103"/>
  <c r="X50" i="103" s="1"/>
  <c r="T76" i="103"/>
  <c r="W76" i="103" s="1"/>
  <c r="W57" i="103"/>
  <c r="X57" i="103" s="1"/>
  <c r="T83" i="103"/>
  <c r="W83" i="103" s="1"/>
  <c r="R70" i="103"/>
  <c r="W45" i="103"/>
  <c r="X45" i="103" s="1"/>
  <c r="T71" i="103"/>
  <c r="W71" i="103" s="1"/>
  <c r="W56" i="103"/>
  <c r="X56" i="103" s="1"/>
  <c r="T82" i="103"/>
  <c r="W82" i="103" s="1"/>
  <c r="W60" i="103"/>
  <c r="X60" i="103" s="1"/>
  <c r="T86" i="103"/>
  <c r="W86" i="103" s="1"/>
  <c r="W51" i="103"/>
  <c r="X51" i="103" s="1"/>
  <c r="T77" i="103"/>
  <c r="W77" i="103" s="1"/>
  <c r="W53" i="103"/>
  <c r="X53" i="103" s="1"/>
  <c r="T79" i="103"/>
  <c r="W79" i="103" s="1"/>
  <c r="W52" i="103"/>
  <c r="X52" i="103" s="1"/>
  <c r="T78" i="103"/>
  <c r="W78" i="103" s="1"/>
  <c r="W46" i="103"/>
  <c r="X46" i="103" s="1"/>
  <c r="T72" i="103"/>
  <c r="W72" i="103" s="1"/>
  <c r="U44" i="103"/>
  <c r="T44" i="103"/>
  <c r="W44" i="103" s="1"/>
  <c r="S70" i="103"/>
  <c r="X44" i="103" l="1"/>
  <c r="Z46" i="103"/>
  <c r="Z72" i="103" s="1"/>
  <c r="Y46" i="103"/>
  <c r="Y72" i="103" s="1"/>
  <c r="X72" i="103"/>
  <c r="Z51" i="103"/>
  <c r="Z77" i="103" s="1"/>
  <c r="Y51" i="103"/>
  <c r="Y77" i="103" s="1"/>
  <c r="X77" i="103"/>
  <c r="Z49" i="103"/>
  <c r="Z75" i="103" s="1"/>
  <c r="Y49" i="103"/>
  <c r="Y75" i="103" s="1"/>
  <c r="X75" i="103"/>
  <c r="Z55" i="103"/>
  <c r="Z81" i="103" s="1"/>
  <c r="Y55" i="103"/>
  <c r="Y81" i="103" s="1"/>
  <c r="X81" i="103"/>
  <c r="Z56" i="103"/>
  <c r="Z82" i="103" s="1"/>
  <c r="Y56" i="103"/>
  <c r="Y82" i="103" s="1"/>
  <c r="X82" i="103"/>
  <c r="Z50" i="103"/>
  <c r="Z76" i="103" s="1"/>
  <c r="Y50" i="103"/>
  <c r="Y76" i="103" s="1"/>
  <c r="X76" i="103"/>
  <c r="Z57" i="103"/>
  <c r="Z83" i="103" s="1"/>
  <c r="Y57" i="103"/>
  <c r="Y83" i="103" s="1"/>
  <c r="X83" i="103"/>
  <c r="T70" i="103"/>
  <c r="Z60" i="103"/>
  <c r="Z86" i="103" s="1"/>
  <c r="Y60" i="103"/>
  <c r="Y86" i="103" s="1"/>
  <c r="X86" i="103"/>
  <c r="K59" i="103"/>
  <c r="J59" i="103"/>
  <c r="I85" i="103"/>
  <c r="I87" i="103" s="1"/>
  <c r="I61" i="103"/>
  <c r="Z47" i="103"/>
  <c r="Z73" i="103" s="1"/>
  <c r="Y47" i="103"/>
  <c r="Y73" i="103" s="1"/>
  <c r="X73" i="103"/>
  <c r="U70" i="103"/>
  <c r="Z52" i="103"/>
  <c r="Z78" i="103" s="1"/>
  <c r="Y52" i="103"/>
  <c r="Y78" i="103" s="1"/>
  <c r="X78" i="103"/>
  <c r="Z53" i="103"/>
  <c r="Z79" i="103" s="1"/>
  <c r="Y53" i="103"/>
  <c r="Y79" i="103" s="1"/>
  <c r="X79" i="103"/>
  <c r="Z54" i="103"/>
  <c r="Z80" i="103" s="1"/>
  <c r="Y54" i="103"/>
  <c r="Y80" i="103" s="1"/>
  <c r="X80" i="103"/>
  <c r="Z45" i="103"/>
  <c r="Z71" i="103" s="1"/>
  <c r="Y45" i="103"/>
  <c r="Y71" i="103" s="1"/>
  <c r="X71" i="103"/>
  <c r="Z58" i="103"/>
  <c r="Z84" i="103" s="1"/>
  <c r="Y58" i="103"/>
  <c r="Y84" i="103" s="1"/>
  <c r="X84" i="103"/>
  <c r="Z48" i="103"/>
  <c r="Z74" i="103" s="1"/>
  <c r="Y48" i="103"/>
  <c r="Y74" i="103" s="1"/>
  <c r="X74" i="103"/>
  <c r="AB84" i="103" l="1"/>
  <c r="AB80" i="103"/>
  <c r="AB71" i="103"/>
  <c r="AB86" i="103"/>
  <c r="AB82" i="103"/>
  <c r="AB81" i="103"/>
  <c r="AB72" i="103"/>
  <c r="AB79" i="103"/>
  <c r="AB83" i="103"/>
  <c r="M59" i="103"/>
  <c r="J85" i="103"/>
  <c r="J61" i="103"/>
  <c r="AB76" i="103"/>
  <c r="K85" i="103"/>
  <c r="K87" i="103" s="1"/>
  <c r="K61" i="103"/>
  <c r="Z44" i="103"/>
  <c r="Z70" i="103" s="1"/>
  <c r="Y44" i="103"/>
  <c r="Y70" i="103" s="1"/>
  <c r="X70" i="103"/>
  <c r="AB78" i="103"/>
  <c r="W70" i="103"/>
  <c r="AB74" i="103"/>
  <c r="AB73" i="103"/>
  <c r="AB75" i="103"/>
  <c r="AB77" i="103"/>
  <c r="M85" i="103" l="1"/>
  <c r="M87" i="103" s="1"/>
  <c r="J87" i="103"/>
  <c r="N59" i="103"/>
  <c r="M61" i="103"/>
  <c r="AB70" i="103"/>
  <c r="P59" i="103" l="1"/>
  <c r="O59" i="103"/>
  <c r="N85" i="103"/>
  <c r="N87" i="103" s="1"/>
  <c r="N61" i="103"/>
  <c r="R59" i="103" l="1"/>
  <c r="O85" i="103"/>
  <c r="O61" i="103"/>
  <c r="P85" i="103"/>
  <c r="P87" i="103" s="1"/>
  <c r="P61" i="103"/>
  <c r="R85" i="103" l="1"/>
  <c r="R87" i="103" s="1"/>
  <c r="O87" i="103"/>
  <c r="S59" i="103"/>
  <c r="R61" i="103"/>
  <c r="U59" i="103" l="1"/>
  <c r="T59" i="103"/>
  <c r="S85" i="103"/>
  <c r="S87" i="103" s="1"/>
  <c r="S61" i="103"/>
  <c r="W59" i="103" l="1"/>
  <c r="T85" i="103"/>
  <c r="T61" i="103"/>
  <c r="U85" i="103"/>
  <c r="U87" i="103" s="1"/>
  <c r="U61" i="103"/>
  <c r="W85" i="103" l="1"/>
  <c r="W87" i="103" s="1"/>
  <c r="T87" i="103"/>
  <c r="X59" i="103"/>
  <c r="W61" i="103"/>
  <c r="Z59" i="103" l="1"/>
  <c r="Z85" i="103" s="1"/>
  <c r="Z87" i="103" s="1"/>
  <c r="Y59" i="103"/>
  <c r="Y85" i="103" s="1"/>
  <c r="X85" i="103"/>
  <c r="X87" i="103" s="1"/>
  <c r="X61" i="103"/>
  <c r="AB85" i="103" l="1"/>
  <c r="AB87" i="103" s="1"/>
  <c r="Y87" i="103"/>
  <c r="G16" i="62" l="1"/>
  <c r="F12" i="79" l="1"/>
  <c r="I15" i="79"/>
  <c r="H12" i="79" l="1"/>
  <c r="J12" i="79" s="1"/>
  <c r="F18" i="62" l="1"/>
  <c r="F16" i="79"/>
  <c r="G17" i="62"/>
  <c r="G16" i="79" l="1"/>
  <c r="F19" i="62"/>
  <c r="G19" i="62" s="1"/>
  <c r="G18" i="62"/>
  <c r="G11" i="79" l="1"/>
  <c r="G12" i="79" l="1"/>
  <c r="J16" i="62" l="1"/>
  <c r="I18" i="62" l="1"/>
  <c r="I16" i="79"/>
  <c r="J17" i="62"/>
  <c r="J16" i="79" l="1"/>
  <c r="I17" i="79"/>
  <c r="J18" i="62"/>
  <c r="I19" i="62"/>
  <c r="J19" i="62" s="1"/>
  <c r="L27" i="71" l="1"/>
  <c r="M27" i="71"/>
  <c r="K27" i="71"/>
  <c r="J27" i="71"/>
  <c r="N27" i="71"/>
  <c r="M18" i="62"/>
  <c r="M16" i="79"/>
  <c r="M17" i="79" l="1"/>
  <c r="N16" i="79"/>
  <c r="I27" i="71"/>
  <c r="G31" i="72" s="1"/>
  <c r="O25" i="71"/>
  <c r="O27" i="71" s="1"/>
  <c r="M19" i="62"/>
  <c r="N18" i="62"/>
  <c r="K31" i="72" l="1"/>
  <c r="G32" i="72"/>
  <c r="O16" i="79"/>
  <c r="N17" i="79"/>
  <c r="O18" i="62"/>
  <c r="N19" i="62"/>
  <c r="O19" i="62" s="1"/>
  <c r="N17" i="62"/>
  <c r="O17" i="62" l="1"/>
  <c r="D12" i="73"/>
  <c r="K32" i="72"/>
  <c r="E14" i="66" l="1"/>
  <c r="F14" i="66"/>
  <c r="D14" i="66"/>
  <c r="F16" i="66" l="1"/>
  <c r="D16" i="66"/>
  <c r="E16" i="66" l="1"/>
  <c r="I24" i="77" l="1"/>
  <c r="I23" i="77"/>
  <c r="I22" i="77"/>
  <c r="I21" i="77"/>
  <c r="I20" i="77"/>
  <c r="I18" i="77"/>
  <c r="I17" i="77"/>
  <c r="I16" i="77"/>
  <c r="I15" i="77"/>
  <c r="I13" i="77"/>
  <c r="G12" i="77"/>
  <c r="I253" i="54"/>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5" i="54"/>
  <c r="I44" i="54"/>
  <c r="F24" i="77"/>
  <c r="F23" i="77"/>
  <c r="F22" i="77"/>
  <c r="F21" i="77"/>
  <c r="F20" i="77"/>
  <c r="F19" i="77"/>
  <c r="F18" i="77"/>
  <c r="F17" i="77"/>
  <c r="F16" i="77"/>
  <c r="F15" i="77"/>
  <c r="F13" i="77"/>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K31" i="91" l="1"/>
  <c r="K34" i="91" s="1"/>
  <c r="K35" i="91" s="1"/>
  <c r="H19" i="91"/>
  <c r="H23" i="91" s="1"/>
  <c r="P19" i="91"/>
  <c r="P23" i="91" s="1"/>
  <c r="L31" i="91"/>
  <c r="L34" i="91" s="1"/>
  <c r="L35" i="91" s="1"/>
  <c r="E36" i="67"/>
  <c r="E38" i="67" s="1"/>
  <c r="E40" i="67" s="1"/>
  <c r="I19" i="91"/>
  <c r="I23" i="91" s="1"/>
  <c r="M31" i="91"/>
  <c r="M34" i="91" s="1"/>
  <c r="M35" i="91" s="1"/>
  <c r="E21" i="69"/>
  <c r="K13" i="65" s="1"/>
  <c r="J19" i="91"/>
  <c r="J21" i="91" s="1"/>
  <c r="F31" i="91"/>
  <c r="F34" i="91" s="1"/>
  <c r="F35" i="91" s="1"/>
  <c r="N31" i="91"/>
  <c r="N34" i="91" s="1"/>
  <c r="N35" i="91" s="1"/>
  <c r="E44" i="68"/>
  <c r="K19" i="91"/>
  <c r="I10" i="71" s="1"/>
  <c r="I12" i="71" s="1"/>
  <c r="P21" i="91"/>
  <c r="F147" i="54"/>
  <c r="E270" i="54"/>
  <c r="F187" i="54"/>
  <c r="I247" i="54"/>
  <c r="E119" i="54"/>
  <c r="F119" i="54" s="1"/>
  <c r="F36" i="54"/>
  <c r="I24" i="54"/>
  <c r="H174" i="54"/>
  <c r="I174" i="54" s="1"/>
  <c r="I170" i="54"/>
  <c r="H214" i="54"/>
  <c r="I214" i="54" s="1"/>
  <c r="I210" i="54"/>
  <c r="F11" i="77"/>
  <c r="E27" i="77"/>
  <c r="G23" i="58" s="1"/>
  <c r="H37" i="54"/>
  <c r="I33" i="54"/>
  <c r="H116" i="54"/>
  <c r="I157" i="54"/>
  <c r="I197" i="54"/>
  <c r="F73" i="54"/>
  <c r="E77" i="54"/>
  <c r="F77" i="54" s="1"/>
  <c r="E263" i="54"/>
  <c r="F140" i="54"/>
  <c r="F220" i="54"/>
  <c r="E224" i="54"/>
  <c r="F224" i="54" s="1"/>
  <c r="H117" i="54"/>
  <c r="I34" i="54"/>
  <c r="I160" i="54"/>
  <c r="H164" i="54"/>
  <c r="I164" i="54" s="1"/>
  <c r="H204" i="54"/>
  <c r="I204" i="54" s="1"/>
  <c r="I200" i="54"/>
  <c r="L19" i="91"/>
  <c r="G31" i="91"/>
  <c r="G34" i="91" s="1"/>
  <c r="G35" i="91" s="1"/>
  <c r="O31" i="91"/>
  <c r="O34" i="91" s="1"/>
  <c r="O35" i="91" s="1"/>
  <c r="D21" i="69"/>
  <c r="G13" i="65" s="1"/>
  <c r="D44" i="68"/>
  <c r="F60" i="54"/>
  <c r="F100" i="54"/>
  <c r="E264" i="54"/>
  <c r="F141" i="54"/>
  <c r="F167" i="54"/>
  <c r="F207" i="54"/>
  <c r="F247" i="54"/>
  <c r="I35" i="54"/>
  <c r="H118" i="54"/>
  <c r="I53" i="54"/>
  <c r="H57" i="54"/>
  <c r="I57" i="54" s="1"/>
  <c r="I80" i="54"/>
  <c r="H270" i="54"/>
  <c r="I147" i="54"/>
  <c r="I187" i="54"/>
  <c r="I227" i="54"/>
  <c r="I11" i="77"/>
  <c r="H27" i="77"/>
  <c r="K23" i="58" s="1"/>
  <c r="F80" i="54"/>
  <c r="F227" i="54"/>
  <c r="I60" i="54"/>
  <c r="I167" i="54"/>
  <c r="I207" i="54"/>
  <c r="F190" i="54"/>
  <c r="E194" i="54"/>
  <c r="F194" i="54" s="1"/>
  <c r="H67" i="54"/>
  <c r="I67" i="54" s="1"/>
  <c r="I63" i="54"/>
  <c r="H265" i="54"/>
  <c r="I142" i="54"/>
  <c r="H254" i="54"/>
  <c r="I254" i="54" s="1"/>
  <c r="I250" i="54"/>
  <c r="Q24" i="91"/>
  <c r="E31" i="91"/>
  <c r="E34" i="91" s="1"/>
  <c r="E35" i="91" s="1"/>
  <c r="F70" i="54"/>
  <c r="F110" i="54"/>
  <c r="F43" i="54"/>
  <c r="E47" i="54"/>
  <c r="F47" i="54" s="1"/>
  <c r="F180" i="54"/>
  <c r="E184" i="54"/>
  <c r="F184" i="54" s="1"/>
  <c r="I93" i="54"/>
  <c r="H97" i="54"/>
  <c r="I97" i="54" s="1"/>
  <c r="I240" i="54"/>
  <c r="H244" i="54"/>
  <c r="I244" i="54" s="1"/>
  <c r="E19" i="91"/>
  <c r="Q17" i="91"/>
  <c r="M19" i="91"/>
  <c r="Q22" i="91"/>
  <c r="H31" i="91"/>
  <c r="H34" i="91" s="1"/>
  <c r="H35" i="91" s="1"/>
  <c r="P31" i="91"/>
  <c r="P34" i="91" s="1"/>
  <c r="P35" i="91" s="1"/>
  <c r="E19" i="78"/>
  <c r="L19" i="78" s="1"/>
  <c r="F14" i="58"/>
  <c r="F24" i="54"/>
  <c r="E67" i="54"/>
  <c r="F67" i="54" s="1"/>
  <c r="F63" i="54"/>
  <c r="E107" i="54"/>
  <c r="F107" i="54" s="1"/>
  <c r="F103" i="54"/>
  <c r="F142" i="54"/>
  <c r="E265" i="54"/>
  <c r="F170" i="54"/>
  <c r="E174" i="54"/>
  <c r="F174" i="54" s="1"/>
  <c r="E214" i="54"/>
  <c r="F214" i="54" s="1"/>
  <c r="F210" i="54"/>
  <c r="F250" i="54"/>
  <c r="E254" i="54"/>
  <c r="F254" i="54" s="1"/>
  <c r="I36" i="54"/>
  <c r="H119" i="54"/>
  <c r="I83" i="54"/>
  <c r="H87" i="54"/>
  <c r="I87" i="54" s="1"/>
  <c r="H154" i="54"/>
  <c r="I154" i="54" s="1"/>
  <c r="I150" i="54"/>
  <c r="H194" i="54"/>
  <c r="I194" i="54" s="1"/>
  <c r="I190" i="54"/>
  <c r="H234" i="54"/>
  <c r="I234" i="54" s="1"/>
  <c r="I230" i="54"/>
  <c r="E46" i="68"/>
  <c r="K12" i="65"/>
  <c r="I100" i="54"/>
  <c r="I141" i="54"/>
  <c r="H264" i="54"/>
  <c r="Q18" i="91"/>
  <c r="D36" i="67"/>
  <c r="F83" i="54"/>
  <c r="E87" i="54"/>
  <c r="F87" i="54" s="1"/>
  <c r="F150" i="54"/>
  <c r="E154" i="54"/>
  <c r="F154" i="54" s="1"/>
  <c r="F230" i="54"/>
  <c r="E234" i="54"/>
  <c r="F234" i="54" s="1"/>
  <c r="H27" i="75"/>
  <c r="K29" i="58" s="1"/>
  <c r="H107" i="54"/>
  <c r="I107" i="54" s="1"/>
  <c r="I103" i="54"/>
  <c r="F40" i="54"/>
  <c r="E123" i="54"/>
  <c r="F177" i="54"/>
  <c r="F257" i="54"/>
  <c r="I90" i="54"/>
  <c r="I237" i="54"/>
  <c r="I50" i="54"/>
  <c r="F19" i="91"/>
  <c r="N19" i="91"/>
  <c r="I31" i="91"/>
  <c r="I34" i="91" s="1"/>
  <c r="I35" i="91" s="1"/>
  <c r="Q30" i="91"/>
  <c r="L12" i="72" s="1"/>
  <c r="L14" i="72" s="1"/>
  <c r="E116" i="54"/>
  <c r="F33" i="54"/>
  <c r="E37" i="54"/>
  <c r="F37" i="54" s="1"/>
  <c r="F90" i="54"/>
  <c r="F143" i="54"/>
  <c r="E266" i="54"/>
  <c r="F157" i="54"/>
  <c r="F197" i="54"/>
  <c r="F237" i="54"/>
  <c r="F14" i="77"/>
  <c r="I14" i="77"/>
  <c r="I40" i="54"/>
  <c r="H123" i="54"/>
  <c r="I70" i="54"/>
  <c r="I110" i="54"/>
  <c r="I177" i="54"/>
  <c r="I217" i="54"/>
  <c r="I257" i="54"/>
  <c r="E118" i="54"/>
  <c r="F118" i="54" s="1"/>
  <c r="F35" i="54"/>
  <c r="E57" i="54"/>
  <c r="F57" i="54" s="1"/>
  <c r="F53" i="54"/>
  <c r="J14" i="58"/>
  <c r="E46" i="78"/>
  <c r="L46" i="78" s="1"/>
  <c r="F217" i="54"/>
  <c r="I143" i="54"/>
  <c r="H266" i="54"/>
  <c r="G19" i="91"/>
  <c r="O19" i="91"/>
  <c r="J31" i="91"/>
  <c r="J34" i="91" s="1"/>
  <c r="J35" i="91" s="1"/>
  <c r="E27" i="75"/>
  <c r="G29" i="58" s="1"/>
  <c r="F34" i="54"/>
  <c r="E117" i="54"/>
  <c r="F117" i="54" s="1"/>
  <c r="F50" i="54"/>
  <c r="E97" i="54"/>
  <c r="F97" i="54" s="1"/>
  <c r="F93" i="54"/>
  <c r="E164" i="54"/>
  <c r="F164" i="54" s="1"/>
  <c r="F160" i="54"/>
  <c r="E204" i="54"/>
  <c r="F204" i="54" s="1"/>
  <c r="F200" i="54"/>
  <c r="E244" i="54"/>
  <c r="F244" i="54" s="1"/>
  <c r="F240" i="54"/>
  <c r="H47" i="54"/>
  <c r="I47" i="54" s="1"/>
  <c r="I43" i="54"/>
  <c r="H77" i="54"/>
  <c r="I77" i="54" s="1"/>
  <c r="I73" i="54"/>
  <c r="I140" i="54"/>
  <c r="H263" i="54"/>
  <c r="H184" i="54"/>
  <c r="I184" i="54" s="1"/>
  <c r="I180" i="54"/>
  <c r="H224" i="54"/>
  <c r="I224" i="54" s="1"/>
  <c r="I220" i="54"/>
  <c r="F10" i="71" l="1"/>
  <c r="F12" i="71" s="1"/>
  <c r="H21" i="91"/>
  <c r="H14" i="58"/>
  <c r="L14" i="58"/>
  <c r="I21" i="91"/>
  <c r="N10" i="71"/>
  <c r="N12" i="71" s="1"/>
  <c r="G10" i="71"/>
  <c r="G12" i="71" s="1"/>
  <c r="E165" i="54"/>
  <c r="F165" i="54" s="1"/>
  <c r="F166" i="54" s="1"/>
  <c r="H215" i="54"/>
  <c r="I215" i="54" s="1"/>
  <c r="I216" i="54" s="1"/>
  <c r="K23" i="91"/>
  <c r="K11" i="65"/>
  <c r="K10" i="65" s="1"/>
  <c r="E235" i="54"/>
  <c r="F235" i="54" s="1"/>
  <c r="F236" i="54" s="1"/>
  <c r="E48" i="54"/>
  <c r="F48" i="54" s="1"/>
  <c r="F49" i="54" s="1"/>
  <c r="E155" i="54"/>
  <c r="F155" i="54" s="1"/>
  <c r="F156" i="54" s="1"/>
  <c r="E225" i="54"/>
  <c r="F225" i="54" s="1"/>
  <c r="F226" i="54" s="1"/>
  <c r="H155" i="54"/>
  <c r="I155" i="54" s="1"/>
  <c r="I156" i="54" s="1"/>
  <c r="E108" i="54"/>
  <c r="F108" i="54" s="1"/>
  <c r="F109" i="54" s="1"/>
  <c r="E215" i="54"/>
  <c r="F215" i="54" s="1"/>
  <c r="F216" i="54" s="1"/>
  <c r="H98" i="54"/>
  <c r="I98" i="54" s="1"/>
  <c r="I99" i="54" s="1"/>
  <c r="H205" i="54"/>
  <c r="E38" i="54"/>
  <c r="H10" i="71"/>
  <c r="H12" i="71" s="1"/>
  <c r="H48" i="54"/>
  <c r="I48" i="54" s="1"/>
  <c r="I49" i="54" s="1"/>
  <c r="H108" i="54"/>
  <c r="I108" i="54" s="1"/>
  <c r="I109" i="54" s="1"/>
  <c r="E78" i="54"/>
  <c r="F78" i="54" s="1"/>
  <c r="F79" i="54" s="1"/>
  <c r="E255" i="54"/>
  <c r="M20" i="75"/>
  <c r="M16" i="75"/>
  <c r="M24" i="75"/>
  <c r="K21" i="91"/>
  <c r="E58" i="54"/>
  <c r="J23" i="91"/>
  <c r="M22" i="75"/>
  <c r="E185" i="54"/>
  <c r="F185" i="54" s="1"/>
  <c r="F186" i="54" s="1"/>
  <c r="H58" i="54"/>
  <c r="I58" i="54" s="1"/>
  <c r="I59" i="54" s="1"/>
  <c r="N23" i="91"/>
  <c r="L10" i="71"/>
  <c r="L12" i="71" s="1"/>
  <c r="N21" i="91"/>
  <c r="E126" i="54"/>
  <c r="E128" i="54" s="1"/>
  <c r="D46" i="68"/>
  <c r="G12" i="65"/>
  <c r="H225" i="54"/>
  <c r="E245" i="54"/>
  <c r="E23" i="78"/>
  <c r="F29" i="58"/>
  <c r="D23" i="78" s="1"/>
  <c r="G21" i="91"/>
  <c r="E10" i="71"/>
  <c r="E12" i="71" s="1"/>
  <c r="G23" i="91"/>
  <c r="E88" i="54"/>
  <c r="H235" i="54"/>
  <c r="E175" i="54"/>
  <c r="E68" i="54"/>
  <c r="H68" i="54"/>
  <c r="H38" i="54"/>
  <c r="H120" i="54"/>
  <c r="I37" i="54"/>
  <c r="F21" i="91"/>
  <c r="F23" i="91"/>
  <c r="D10" i="71"/>
  <c r="D12" i="71" s="1"/>
  <c r="M11" i="75"/>
  <c r="O21" i="91"/>
  <c r="M10" i="71"/>
  <c r="M12" i="71" s="1"/>
  <c r="O23" i="91"/>
  <c r="H78" i="54"/>
  <c r="E98" i="54"/>
  <c r="E50" i="78"/>
  <c r="J29" i="58"/>
  <c r="D50" i="78" s="1"/>
  <c r="H88" i="54"/>
  <c r="H245" i="54"/>
  <c r="Q14" i="58"/>
  <c r="F116" i="54"/>
  <c r="E120" i="54"/>
  <c r="F120" i="54" s="1"/>
  <c r="K10" i="71"/>
  <c r="K12" i="71" s="1"/>
  <c r="M23" i="91"/>
  <c r="M21" i="91"/>
  <c r="L21" i="91"/>
  <c r="J10" i="71"/>
  <c r="J12" i="71" s="1"/>
  <c r="L23" i="91"/>
  <c r="H126" i="54"/>
  <c r="H128" i="54" s="1"/>
  <c r="Q31" i="91"/>
  <c r="Q34" i="91" s="1"/>
  <c r="Q35" i="91" s="1"/>
  <c r="C12" i="72"/>
  <c r="J12" i="72" s="1"/>
  <c r="E44" i="78"/>
  <c r="J23" i="58"/>
  <c r="D44" i="78" s="1"/>
  <c r="H273" i="54"/>
  <c r="H275" i="54" s="1"/>
  <c r="H165" i="54"/>
  <c r="H175" i="54"/>
  <c r="M15" i="75"/>
  <c r="E21" i="91"/>
  <c r="C10" i="71"/>
  <c r="E23" i="91"/>
  <c r="Q19" i="91"/>
  <c r="H185" i="54"/>
  <c r="E205" i="54"/>
  <c r="D38" i="67"/>
  <c r="D40" i="67" s="1"/>
  <c r="G11" i="65"/>
  <c r="H195" i="54"/>
  <c r="H255" i="54"/>
  <c r="E195" i="54"/>
  <c r="F23" i="58"/>
  <c r="H23" i="58" s="1"/>
  <c r="E17" i="78"/>
  <c r="E273" i="54"/>
  <c r="E275" i="54" s="1"/>
  <c r="E166" i="54" l="1"/>
  <c r="E121" i="54"/>
  <c r="E122" i="54" s="1"/>
  <c r="H216" i="54"/>
  <c r="M23" i="75"/>
  <c r="E49" i="54"/>
  <c r="E226" i="54"/>
  <c r="E109" i="54"/>
  <c r="E186" i="54"/>
  <c r="H49" i="54"/>
  <c r="L48" i="91"/>
  <c r="L50" i="91" s="1"/>
  <c r="E216" i="54"/>
  <c r="E79" i="54"/>
  <c r="E236" i="54"/>
  <c r="E156" i="54"/>
  <c r="H109" i="54"/>
  <c r="H156" i="54"/>
  <c r="H99" i="54"/>
  <c r="F38" i="54"/>
  <c r="F39" i="54" s="1"/>
  <c r="E39" i="54"/>
  <c r="F255" i="54"/>
  <c r="F256" i="54" s="1"/>
  <c r="E256" i="54"/>
  <c r="I205" i="54"/>
  <c r="I206" i="54" s="1"/>
  <c r="H206" i="54"/>
  <c r="K27" i="75"/>
  <c r="O29" i="58" s="1"/>
  <c r="P63" i="91"/>
  <c r="P66" i="91" s="1"/>
  <c r="P67" i="91" s="1"/>
  <c r="G17" i="65"/>
  <c r="G13" i="58" s="1"/>
  <c r="Q47" i="91"/>
  <c r="J63" i="91"/>
  <c r="J66" i="91" s="1"/>
  <c r="J67" i="91" s="1"/>
  <c r="L27" i="75"/>
  <c r="P29" i="58" s="1"/>
  <c r="H63" i="91"/>
  <c r="H66" i="91" s="1"/>
  <c r="H67" i="91" s="1"/>
  <c r="I48" i="91"/>
  <c r="I50" i="91" s="1"/>
  <c r="I63" i="91"/>
  <c r="I66" i="91" s="1"/>
  <c r="I67" i="91" s="1"/>
  <c r="H59" i="54"/>
  <c r="J48" i="91"/>
  <c r="H17" i="71" s="1"/>
  <c r="H19" i="71" s="1"/>
  <c r="K48" i="91"/>
  <c r="I17" i="71" s="1"/>
  <c r="I19" i="71" s="1"/>
  <c r="K63" i="91"/>
  <c r="K66" i="91" s="1"/>
  <c r="K67" i="91" s="1"/>
  <c r="H29" i="58"/>
  <c r="F58" i="54"/>
  <c r="F59" i="54" s="1"/>
  <c r="E59" i="54"/>
  <c r="I245" i="54"/>
  <c r="I246" i="54" s="1"/>
  <c r="H246" i="54"/>
  <c r="F68" i="54"/>
  <c r="F69" i="54" s="1"/>
  <c r="E69" i="54"/>
  <c r="L17" i="78"/>
  <c r="E48" i="91"/>
  <c r="Q46" i="91"/>
  <c r="M48" i="91"/>
  <c r="L63" i="91"/>
  <c r="L66" i="91" s="1"/>
  <c r="L67" i="91" s="1"/>
  <c r="D17" i="78"/>
  <c r="G17" i="78" s="1"/>
  <c r="I185" i="54"/>
  <c r="I186" i="54" s="1"/>
  <c r="H186" i="54"/>
  <c r="I165" i="54"/>
  <c r="I166" i="54" s="1"/>
  <c r="H166" i="54"/>
  <c r="L29" i="58"/>
  <c r="I78" i="54"/>
  <c r="I79" i="54" s="1"/>
  <c r="H79" i="54"/>
  <c r="I68" i="54"/>
  <c r="I69" i="54" s="1"/>
  <c r="H69" i="54"/>
  <c r="F88" i="54"/>
  <c r="F89" i="54" s="1"/>
  <c r="E89" i="54"/>
  <c r="G23" i="78"/>
  <c r="L23" i="78"/>
  <c r="F23" i="78"/>
  <c r="I195" i="54"/>
  <c r="I196" i="54" s="1"/>
  <c r="H196" i="54"/>
  <c r="G10" i="65"/>
  <c r="I88" i="54"/>
  <c r="I89" i="54" s="1"/>
  <c r="H89" i="54"/>
  <c r="F175" i="54"/>
  <c r="F176" i="54" s="1"/>
  <c r="E176" i="54"/>
  <c r="C12" i="71"/>
  <c r="O10" i="71"/>
  <c r="O12" i="71" s="1"/>
  <c r="I235" i="54"/>
  <c r="I236" i="54" s="1"/>
  <c r="H236" i="54"/>
  <c r="F48" i="91"/>
  <c r="N48" i="91"/>
  <c r="Q53" i="91"/>
  <c r="C21" i="72" s="1"/>
  <c r="J21" i="72" s="1"/>
  <c r="E63" i="91"/>
  <c r="M63" i="91"/>
  <c r="M66" i="91" s="1"/>
  <c r="M67" i="91" s="1"/>
  <c r="N12" i="72"/>
  <c r="J14" i="72"/>
  <c r="E11" i="78"/>
  <c r="L44" i="78"/>
  <c r="F44" i="78"/>
  <c r="G44" i="78"/>
  <c r="F205" i="54"/>
  <c r="F206" i="54" s="1"/>
  <c r="E206" i="54"/>
  <c r="I175" i="54"/>
  <c r="I176" i="54" s="1"/>
  <c r="H176" i="54"/>
  <c r="G48" i="91"/>
  <c r="O48" i="91"/>
  <c r="F63" i="91"/>
  <c r="F66" i="91" s="1"/>
  <c r="F67" i="91" s="1"/>
  <c r="N63" i="91"/>
  <c r="N66" i="91" s="1"/>
  <c r="N67" i="91" s="1"/>
  <c r="F195" i="54"/>
  <c r="F196" i="54" s="1"/>
  <c r="E196" i="54"/>
  <c r="N14" i="58"/>
  <c r="R14" i="58" s="1"/>
  <c r="G50" i="78"/>
  <c r="F50" i="78"/>
  <c r="L50" i="78"/>
  <c r="F245" i="54"/>
  <c r="F246" i="54" s="1"/>
  <c r="E246" i="54"/>
  <c r="Q59" i="91"/>
  <c r="L21" i="72" s="1"/>
  <c r="L23" i="72" s="1"/>
  <c r="G12" i="72"/>
  <c r="G14" i="72" s="1"/>
  <c r="Q23" i="91"/>
  <c r="F12" i="72" s="1"/>
  <c r="Q21" i="91"/>
  <c r="D12" i="72" s="1"/>
  <c r="I38" i="54"/>
  <c r="I39" i="54" s="1"/>
  <c r="H121" i="54"/>
  <c r="H122" i="54" s="1"/>
  <c r="H39" i="54"/>
  <c r="F98" i="54"/>
  <c r="F99" i="54" s="1"/>
  <c r="E99" i="54"/>
  <c r="H48" i="91"/>
  <c r="P48" i="91"/>
  <c r="G63" i="91"/>
  <c r="G66" i="91" s="1"/>
  <c r="G67" i="91" s="1"/>
  <c r="O63" i="91"/>
  <c r="O66" i="91" s="1"/>
  <c r="O67" i="91" s="1"/>
  <c r="I255" i="54"/>
  <c r="I256" i="54" s="1"/>
  <c r="H256" i="54"/>
  <c r="M26" i="75"/>
  <c r="L23" i="58"/>
  <c r="I225" i="54"/>
  <c r="I226" i="54" s="1"/>
  <c r="H226" i="54"/>
  <c r="F121" i="54" l="1"/>
  <c r="F122" i="54" s="1"/>
  <c r="J17" i="71"/>
  <c r="J19" i="71" s="1"/>
  <c r="L52" i="91"/>
  <c r="K50" i="91"/>
  <c r="J52" i="91"/>
  <c r="J50" i="91"/>
  <c r="F17" i="78"/>
  <c r="Q29" i="58"/>
  <c r="N29" i="58" s="1"/>
  <c r="R29" i="58" s="1"/>
  <c r="K52" i="91"/>
  <c r="M27" i="75"/>
  <c r="I52" i="91"/>
  <c r="G17" i="71"/>
  <c r="G19" i="71" s="1"/>
  <c r="O50" i="91"/>
  <c r="M17" i="71"/>
  <c r="M19" i="71" s="1"/>
  <c r="O52" i="91"/>
  <c r="N52" i="91"/>
  <c r="L17" i="71"/>
  <c r="L19" i="71" s="1"/>
  <c r="N50" i="91"/>
  <c r="E17" i="71"/>
  <c r="E19" i="71" s="1"/>
  <c r="G50" i="91"/>
  <c r="G52" i="91"/>
  <c r="D17" i="71"/>
  <c r="D19" i="71" s="1"/>
  <c r="F50" i="91"/>
  <c r="F52" i="91"/>
  <c r="Q63" i="91"/>
  <c r="Q66" i="91" s="1"/>
  <c r="Q67" i="91" s="1"/>
  <c r="E66" i="91"/>
  <c r="E67" i="91" s="1"/>
  <c r="N17" i="71"/>
  <c r="N19" i="71" s="1"/>
  <c r="P52" i="91"/>
  <c r="P50" i="91"/>
  <c r="E27" i="78"/>
  <c r="N14" i="72"/>
  <c r="H52" i="91"/>
  <c r="F17" i="71"/>
  <c r="F19" i="71" s="1"/>
  <c r="H50" i="91"/>
  <c r="J23" i="72"/>
  <c r="N21" i="72"/>
  <c r="E52" i="91"/>
  <c r="C17" i="71"/>
  <c r="Q48" i="91"/>
  <c r="E50" i="91"/>
  <c r="K17" i="71"/>
  <c r="K19" i="71" s="1"/>
  <c r="M50" i="91"/>
  <c r="M52" i="91"/>
  <c r="R35" i="91" l="1"/>
  <c r="N23" i="72"/>
  <c r="E54" i="78"/>
  <c r="Q50" i="91"/>
  <c r="D21" i="72" s="1"/>
  <c r="G21" i="72"/>
  <c r="G23" i="72" s="1"/>
  <c r="Q52" i="91"/>
  <c r="F21" i="72" s="1"/>
  <c r="F27" i="78"/>
  <c r="L27" i="78"/>
  <c r="L29" i="78" s="1"/>
  <c r="C19" i="71"/>
  <c r="O17" i="71"/>
  <c r="O19" i="71" s="1"/>
  <c r="F54" i="78" l="1"/>
  <c r="L54" i="78"/>
  <c r="L56" i="78" s="1"/>
  <c r="R67" i="91"/>
  <c r="H267" i="54" l="1"/>
  <c r="I144" i="54"/>
  <c r="H145" i="54"/>
  <c r="I145" i="54" l="1"/>
  <c r="I146" i="54" s="1"/>
  <c r="H268" i="54"/>
  <c r="H146" i="54"/>
  <c r="H22" i="54" l="1"/>
  <c r="H269" i="54"/>
  <c r="K22" i="54" l="1"/>
  <c r="I22" i="54"/>
  <c r="L22" i="54" l="1"/>
  <c r="M22" i="54"/>
  <c r="N22" i="54" s="1"/>
  <c r="O22" i="54" s="1"/>
  <c r="P22" i="54" s="1"/>
  <c r="Q22" i="54" s="1"/>
  <c r="L24" i="54" l="1"/>
  <c r="J14" i="65" l="1"/>
  <c r="E39" i="78"/>
  <c r="K17" i="65"/>
  <c r="E38" i="78" l="1"/>
  <c r="K13" i="58"/>
  <c r="D39" i="78"/>
  <c r="L39" i="78" s="1"/>
  <c r="S29" i="58" l="1"/>
  <c r="O27" i="77"/>
  <c r="S23" i="58" s="1"/>
  <c r="T29" i="58" l="1"/>
  <c r="P27" i="77"/>
  <c r="T23" i="58" s="1"/>
  <c r="U29" i="58"/>
  <c r="Q27" i="77" l="1"/>
  <c r="U23" i="58" s="1"/>
  <c r="W29" i="58"/>
  <c r="V29" i="58"/>
  <c r="S27" i="77" l="1"/>
  <c r="W23" i="58" s="1"/>
  <c r="R27" i="77"/>
  <c r="V23" i="58" s="1"/>
  <c r="P14" i="65" l="1"/>
  <c r="P17" i="65" s="1"/>
  <c r="P13" i="58" s="1"/>
  <c r="O17" i="65"/>
  <c r="O13" i="58" s="1"/>
  <c r="Q13" i="58" l="1"/>
  <c r="S14" i="65"/>
  <c r="L13" i="66"/>
  <c r="Q14" i="65"/>
  <c r="N14" i="65" l="1"/>
  <c r="Q17" i="65"/>
  <c r="P13" i="66" l="1"/>
  <c r="U14" i="65"/>
  <c r="T14" i="65"/>
  <c r="N13" i="66"/>
  <c r="W14" i="65" l="1"/>
  <c r="T13" i="66"/>
  <c r="V14" i="65"/>
  <c r="R13" i="66"/>
  <c r="F144" i="54" l="1"/>
  <c r="E267" i="54"/>
  <c r="E268" i="54" s="1"/>
  <c r="E145" i="54"/>
  <c r="F145" i="54" l="1"/>
  <c r="F146" i="54" s="1"/>
  <c r="E146" i="54"/>
  <c r="F268" i="54"/>
  <c r="F269" i="54" s="1"/>
  <c r="E269" i="54"/>
  <c r="E22" i="54"/>
  <c r="F22" i="54" s="1"/>
  <c r="F17" i="65" l="1"/>
  <c r="F10" i="65"/>
  <c r="H11" i="65"/>
  <c r="H17" i="65" s="1"/>
  <c r="H10" i="65" l="1"/>
  <c r="D11" i="78"/>
  <c r="F13" i="58"/>
  <c r="F10" i="63" l="1"/>
  <c r="G10" i="66"/>
  <c r="G14" i="66" s="1"/>
  <c r="G11" i="78"/>
  <c r="H11" i="78" s="1"/>
  <c r="G15" i="66" s="1"/>
  <c r="F11" i="78"/>
  <c r="H13" i="58"/>
  <c r="G16" i="66" l="1"/>
  <c r="L11" i="78"/>
  <c r="D19" i="54" l="1"/>
  <c r="G15" i="54" s="1"/>
  <c r="E15" i="54"/>
  <c r="E20" i="55"/>
  <c r="F11" i="55"/>
  <c r="D21" i="54" l="1"/>
  <c r="D23" i="54" s="1"/>
  <c r="D25" i="54" s="1"/>
  <c r="E19" i="58" s="1"/>
  <c r="F20" i="55"/>
  <c r="F15" i="54"/>
  <c r="G19" i="54"/>
  <c r="J15" i="54" s="1"/>
  <c r="J19" i="54" s="1"/>
  <c r="J21" i="54" s="1"/>
  <c r="J23" i="54" s="1"/>
  <c r="J25" i="54" s="1"/>
  <c r="M19" i="58" s="1"/>
  <c r="G21" i="54" l="1"/>
  <c r="G23" i="54" s="1"/>
  <c r="G25" i="54" s="1"/>
  <c r="I19" i="58" s="1"/>
  <c r="M29" i="58" l="1"/>
  <c r="N27" i="75"/>
  <c r="M23" i="58" l="1"/>
  <c r="N27" i="77"/>
  <c r="I29" i="58" l="1"/>
  <c r="I27" i="75"/>
  <c r="I23" i="58" l="1"/>
  <c r="I27" i="77"/>
  <c r="I17" i="65" l="1"/>
  <c r="I13" i="58" s="1"/>
  <c r="M17" i="65" l="1"/>
  <c r="M13" i="58" s="1"/>
  <c r="D26" i="116" l="1"/>
  <c r="H26" i="70"/>
  <c r="I26" i="70" s="1"/>
  <c r="D134" i="70"/>
  <c r="D136" i="70"/>
  <c r="H28" i="70"/>
  <c r="I28" i="70" s="1"/>
  <c r="D28" i="116"/>
  <c r="H17" i="70"/>
  <c r="I17" i="70" s="1"/>
  <c r="F71" i="70"/>
  <c r="D17" i="116"/>
  <c r="D125" i="70"/>
  <c r="E71" i="70"/>
  <c r="F72" i="70"/>
  <c r="D18" i="116"/>
  <c r="H18" i="70"/>
  <c r="I18" i="70" s="1"/>
  <c r="D126" i="70"/>
  <c r="D20" i="116"/>
  <c r="H20" i="70"/>
  <c r="I20" i="70" s="1"/>
  <c r="F74" i="70"/>
  <c r="D128" i="70"/>
  <c r="D24" i="116"/>
  <c r="F78" i="70"/>
  <c r="D132" i="70"/>
  <c r="H24" i="70"/>
  <c r="I24" i="70" s="1"/>
  <c r="H16" i="70"/>
  <c r="I16" i="70" s="1"/>
  <c r="D124" i="70"/>
  <c r="D16" i="116"/>
  <c r="H19" i="70" l="1"/>
  <c r="I19" i="70" s="1"/>
  <c r="F73" i="70"/>
  <c r="D127" i="70"/>
  <c r="D19" i="116"/>
  <c r="M28" i="70"/>
  <c r="N28" i="70" s="1"/>
  <c r="F74" i="116"/>
  <c r="F128" i="116" s="1"/>
  <c r="F128" i="70"/>
  <c r="H22" i="70"/>
  <c r="I22" i="70" s="1"/>
  <c r="M22" i="70" s="1"/>
  <c r="N22" i="70" s="1"/>
  <c r="R22" i="70" s="1"/>
  <c r="S22" i="70" s="1"/>
  <c r="E76" i="70"/>
  <c r="D22" i="116"/>
  <c r="D130" i="70"/>
  <c r="F76" i="70"/>
  <c r="M20" i="70"/>
  <c r="N20" i="70" s="1"/>
  <c r="M24" i="70"/>
  <c r="N24" i="70" s="1"/>
  <c r="D128" i="116"/>
  <c r="H20" i="116"/>
  <c r="I20" i="116" s="1"/>
  <c r="H17" i="116"/>
  <c r="I17" i="116" s="1"/>
  <c r="M17" i="116" s="1"/>
  <c r="N17" i="116" s="1"/>
  <c r="R17" i="116" s="1"/>
  <c r="D125" i="116"/>
  <c r="D135" i="70"/>
  <c r="H27" i="70"/>
  <c r="I27" i="70" s="1"/>
  <c r="D27" i="116"/>
  <c r="H18" i="116"/>
  <c r="I18" i="116" s="1"/>
  <c r="D126" i="116"/>
  <c r="D133" i="70"/>
  <c r="F79" i="70"/>
  <c r="D25" i="116"/>
  <c r="H25" i="70"/>
  <c r="I25" i="70" s="1"/>
  <c r="M16" i="70"/>
  <c r="N16" i="70" s="1"/>
  <c r="D30" i="116"/>
  <c r="D138" i="70"/>
  <c r="H30" i="70"/>
  <c r="I30" i="70" s="1"/>
  <c r="F84" i="70"/>
  <c r="E84" i="70"/>
  <c r="D137" i="70"/>
  <c r="E83" i="70"/>
  <c r="D29" i="116"/>
  <c r="F83" i="70"/>
  <c r="H29" i="70"/>
  <c r="I29" i="70" s="1"/>
  <c r="M29" i="70" s="1"/>
  <c r="N29" i="70" s="1"/>
  <c r="R29" i="70" s="1"/>
  <c r="S29" i="70" s="1"/>
  <c r="F77" i="70"/>
  <c r="H23" i="70"/>
  <c r="I23" i="70" s="1"/>
  <c r="E77" i="70"/>
  <c r="D131" i="70"/>
  <c r="D23" i="116"/>
  <c r="F71" i="116"/>
  <c r="F125" i="116" s="1"/>
  <c r="F125" i="70"/>
  <c r="M26" i="70"/>
  <c r="N26" i="70" s="1"/>
  <c r="H24" i="116"/>
  <c r="I24" i="116" s="1"/>
  <c r="D132" i="116"/>
  <c r="M18" i="70"/>
  <c r="N18" i="70" s="1"/>
  <c r="H21" i="70"/>
  <c r="I21" i="70" s="1"/>
  <c r="D21" i="116"/>
  <c r="D129" i="70"/>
  <c r="D124" i="116"/>
  <c r="H16" i="116"/>
  <c r="I16" i="116" s="1"/>
  <c r="H28" i="116"/>
  <c r="I28" i="116" s="1"/>
  <c r="D136" i="116"/>
  <c r="D123" i="70"/>
  <c r="F69" i="70"/>
  <c r="H15" i="70"/>
  <c r="I15" i="70" s="1"/>
  <c r="D15" i="116"/>
  <c r="F72" i="116"/>
  <c r="F126" i="116" s="1"/>
  <c r="F126" i="70"/>
  <c r="D31" i="70"/>
  <c r="H14" i="70"/>
  <c r="D122" i="70"/>
  <c r="D14" i="116"/>
  <c r="E125" i="70"/>
  <c r="E71" i="116"/>
  <c r="H71" i="70"/>
  <c r="I71" i="70" s="1"/>
  <c r="I125" i="70" s="1"/>
  <c r="F132" i="70"/>
  <c r="F78" i="116"/>
  <c r="F132" i="116" s="1"/>
  <c r="M17" i="70"/>
  <c r="N17" i="70" s="1"/>
  <c r="D134" i="116"/>
  <c r="H26" i="116"/>
  <c r="I26" i="116" s="1"/>
  <c r="E84" i="116" l="1"/>
  <c r="H84" i="70"/>
  <c r="I84" i="70" s="1"/>
  <c r="I138" i="70" s="1"/>
  <c r="E138" i="70"/>
  <c r="M24" i="116"/>
  <c r="N24" i="116" s="1"/>
  <c r="D133" i="116"/>
  <c r="H25" i="116"/>
  <c r="I25" i="116" s="1"/>
  <c r="D123" i="116"/>
  <c r="H15" i="116"/>
  <c r="I15" i="116" s="1"/>
  <c r="M30" i="70"/>
  <c r="N30" i="70" s="1"/>
  <c r="M15" i="70"/>
  <c r="N15" i="70" s="1"/>
  <c r="R26" i="70"/>
  <c r="S26" i="70" s="1"/>
  <c r="D139" i="70"/>
  <c r="D129" i="116"/>
  <c r="H21" i="116"/>
  <c r="I21" i="116" s="1"/>
  <c r="H19" i="116"/>
  <c r="I19" i="116" s="1"/>
  <c r="D127" i="116"/>
  <c r="H31" i="70"/>
  <c r="I14" i="70"/>
  <c r="M21" i="70"/>
  <c r="N21" i="70" s="1"/>
  <c r="D137" i="116"/>
  <c r="H29" i="116"/>
  <c r="I29" i="116" s="1"/>
  <c r="M18" i="116"/>
  <c r="N18" i="116" s="1"/>
  <c r="E76" i="116"/>
  <c r="E130" i="70"/>
  <c r="H130" i="70" s="1"/>
  <c r="H76" i="70"/>
  <c r="I76" i="70" s="1"/>
  <c r="M16" i="116"/>
  <c r="N16" i="116" s="1"/>
  <c r="M25" i="70"/>
  <c r="N25" i="70" s="1"/>
  <c r="M26" i="116"/>
  <c r="N26" i="116" s="1"/>
  <c r="F138" i="70"/>
  <c r="H138" i="70" s="1"/>
  <c r="F84" i="116"/>
  <c r="F138" i="116" s="1"/>
  <c r="F131" i="70"/>
  <c r="F77" i="116"/>
  <c r="F131" i="116" s="1"/>
  <c r="R28" i="70"/>
  <c r="S28" i="70" s="1"/>
  <c r="D31" i="116"/>
  <c r="D23" i="69" s="1"/>
  <c r="D24" i="69" s="1"/>
  <c r="H14" i="116"/>
  <c r="D122" i="116"/>
  <c r="R17" i="70"/>
  <c r="S17" i="70" s="1"/>
  <c r="H125" i="70"/>
  <c r="D138" i="116"/>
  <c r="H30" i="116"/>
  <c r="I30" i="116" s="1"/>
  <c r="H22" i="116"/>
  <c r="I22" i="116" s="1"/>
  <c r="D130" i="116"/>
  <c r="D131" i="116"/>
  <c r="H23" i="116"/>
  <c r="I23" i="116" s="1"/>
  <c r="E137" i="70"/>
  <c r="H83" i="70"/>
  <c r="I83" i="70" s="1"/>
  <c r="E83" i="116"/>
  <c r="R16" i="70"/>
  <c r="S16" i="70" s="1"/>
  <c r="W22" i="70"/>
  <c r="D48" i="70" s="1"/>
  <c r="S22" i="116"/>
  <c r="F73" i="116"/>
  <c r="F127" i="116" s="1"/>
  <c r="F127" i="70"/>
  <c r="E125" i="116"/>
  <c r="H125" i="116" s="1"/>
  <c r="H71" i="116"/>
  <c r="I71" i="116" s="1"/>
  <c r="E77" i="116"/>
  <c r="E131" i="70"/>
  <c r="H131" i="70" s="1"/>
  <c r="H77" i="70"/>
  <c r="I77" i="70" s="1"/>
  <c r="M27" i="70"/>
  <c r="N27" i="70" s="1"/>
  <c r="M23" i="70"/>
  <c r="N23" i="70" s="1"/>
  <c r="R20" i="70"/>
  <c r="S20" i="70" s="1"/>
  <c r="F79" i="116"/>
  <c r="F133" i="116" s="1"/>
  <c r="F133" i="70"/>
  <c r="F130" i="70"/>
  <c r="F76" i="116"/>
  <c r="F130" i="116" s="1"/>
  <c r="S29" i="116"/>
  <c r="W29" i="70"/>
  <c r="D55" i="70" s="1"/>
  <c r="F85" i="70"/>
  <c r="F123" i="70"/>
  <c r="F69" i="116"/>
  <c r="F83" i="116"/>
  <c r="F137" i="116" s="1"/>
  <c r="F137" i="70"/>
  <c r="M20" i="116"/>
  <c r="N20" i="116" s="1"/>
  <c r="F11" i="63"/>
  <c r="E14" i="55"/>
  <c r="E16" i="54"/>
  <c r="K71" i="70"/>
  <c r="J71" i="70"/>
  <c r="M28" i="116"/>
  <c r="N28" i="116" s="1"/>
  <c r="R18" i="70"/>
  <c r="S18" i="70" s="1"/>
  <c r="H137" i="70"/>
  <c r="D135" i="116"/>
  <c r="H27" i="116"/>
  <c r="I27" i="116" s="1"/>
  <c r="R24" i="70"/>
  <c r="S24" i="70" s="1"/>
  <c r="M19" i="70"/>
  <c r="N19" i="70" s="1"/>
  <c r="F139" i="70" l="1"/>
  <c r="F16" i="54"/>
  <c r="K77" i="70"/>
  <c r="J77" i="70"/>
  <c r="M77" i="70" s="1"/>
  <c r="N77" i="70" s="1"/>
  <c r="D139" i="116"/>
  <c r="M14" i="70"/>
  <c r="I31" i="70"/>
  <c r="H11" i="63" s="1"/>
  <c r="F14" i="55"/>
  <c r="E21" i="55"/>
  <c r="E15" i="55"/>
  <c r="H48" i="70"/>
  <c r="I48" i="70" s="1"/>
  <c r="S18" i="116"/>
  <c r="W18" i="70"/>
  <c r="D44" i="70" s="1"/>
  <c r="I125" i="116"/>
  <c r="M19" i="116"/>
  <c r="N19" i="116" s="1"/>
  <c r="W29" i="116"/>
  <c r="D55" i="116" s="1"/>
  <c r="H83" i="116"/>
  <c r="I83" i="116" s="1"/>
  <c r="E137" i="116"/>
  <c r="H137" i="116" s="1"/>
  <c r="R25" i="70"/>
  <c r="S25" i="70" s="1"/>
  <c r="M29" i="116"/>
  <c r="N29" i="116" s="1"/>
  <c r="I137" i="116"/>
  <c r="R24" i="116"/>
  <c r="R28" i="116"/>
  <c r="R23" i="70"/>
  <c r="S23" i="70" s="1"/>
  <c r="I137" i="70"/>
  <c r="K83" i="70"/>
  <c r="J83" i="70"/>
  <c r="W22" i="116"/>
  <c r="D48" i="116" s="1"/>
  <c r="H48" i="116" s="1"/>
  <c r="I48" i="116" s="1"/>
  <c r="M48" i="116" s="1"/>
  <c r="N48" i="116" s="1"/>
  <c r="R48" i="116" s="1"/>
  <c r="S48" i="116" s="1"/>
  <c r="W48" i="116" s="1"/>
  <c r="M22" i="116"/>
  <c r="N22" i="116" s="1"/>
  <c r="S26" i="116"/>
  <c r="W26" i="70"/>
  <c r="D52" i="70" s="1"/>
  <c r="H55" i="70"/>
  <c r="I55" i="70" s="1"/>
  <c r="M30" i="116"/>
  <c r="N30" i="116" s="1"/>
  <c r="R18" i="116"/>
  <c r="R20" i="116"/>
  <c r="I131" i="70"/>
  <c r="R15" i="70"/>
  <c r="S15" i="70" s="1"/>
  <c r="S24" i="116"/>
  <c r="W24" i="70"/>
  <c r="D50" i="70" s="1"/>
  <c r="M71" i="70"/>
  <c r="N71" i="70" s="1"/>
  <c r="J125" i="70"/>
  <c r="J71" i="116"/>
  <c r="J125" i="116" s="1"/>
  <c r="R16" i="116"/>
  <c r="R30" i="70"/>
  <c r="S30" i="70" s="1"/>
  <c r="J84" i="70"/>
  <c r="K84" i="70"/>
  <c r="H31" i="116"/>
  <c r="I14" i="116"/>
  <c r="H76" i="116"/>
  <c r="I76" i="116" s="1"/>
  <c r="I130" i="116" s="1"/>
  <c r="E130" i="116"/>
  <c r="H130" i="116" s="1"/>
  <c r="M25" i="116"/>
  <c r="N25" i="116" s="1"/>
  <c r="E131" i="116"/>
  <c r="H131" i="116" s="1"/>
  <c r="H77" i="116"/>
  <c r="I77" i="116" s="1"/>
  <c r="R26" i="116"/>
  <c r="W20" i="70"/>
  <c r="D46" i="70" s="1"/>
  <c r="S20" i="116"/>
  <c r="S16" i="116"/>
  <c r="W16" i="70"/>
  <c r="D42" i="70" s="1"/>
  <c r="R19" i="70"/>
  <c r="S19" i="70" s="1"/>
  <c r="W28" i="70"/>
  <c r="D54" i="70" s="1"/>
  <c r="S28" i="116"/>
  <c r="M21" i="116"/>
  <c r="N21" i="116" s="1"/>
  <c r="M27" i="116"/>
  <c r="N27" i="116" s="1"/>
  <c r="K71" i="116"/>
  <c r="K125" i="116" s="1"/>
  <c r="K125" i="70"/>
  <c r="F123" i="116"/>
  <c r="F139" i="116" s="1"/>
  <c r="F85" i="116"/>
  <c r="R27" i="70"/>
  <c r="S27" i="70" s="1"/>
  <c r="M23" i="116"/>
  <c r="N23" i="116" s="1"/>
  <c r="I131" i="116"/>
  <c r="S17" i="116"/>
  <c r="W17" i="70"/>
  <c r="D43" i="70" s="1"/>
  <c r="I130" i="70"/>
  <c r="K76" i="70"/>
  <c r="J76" i="70"/>
  <c r="R21" i="70"/>
  <c r="S21" i="70" s="1"/>
  <c r="M15" i="116"/>
  <c r="N15" i="116" s="1"/>
  <c r="H84" i="116"/>
  <c r="I84" i="116" s="1"/>
  <c r="E138" i="116"/>
  <c r="H138" i="116" s="1"/>
  <c r="M125" i="116" l="1"/>
  <c r="H43" i="70"/>
  <c r="I43" i="70" s="1"/>
  <c r="H46" i="70"/>
  <c r="I46" i="70" s="1"/>
  <c r="S15" i="116"/>
  <c r="W15" i="70"/>
  <c r="D41" i="70" s="1"/>
  <c r="W18" i="116"/>
  <c r="D44" i="116" s="1"/>
  <c r="W17" i="116"/>
  <c r="D43" i="116" s="1"/>
  <c r="M14" i="116"/>
  <c r="I31" i="116"/>
  <c r="E23" i="69" s="1"/>
  <c r="E24" i="69" s="1"/>
  <c r="H55" i="116"/>
  <c r="I55" i="116" s="1"/>
  <c r="M55" i="116" s="1"/>
  <c r="N55" i="116" s="1"/>
  <c r="R55" i="116" s="1"/>
  <c r="S55" i="116" s="1"/>
  <c r="W55" i="116" s="1"/>
  <c r="W21" i="70"/>
  <c r="D47" i="70" s="1"/>
  <c r="S21" i="116"/>
  <c r="K137" i="70"/>
  <c r="K83" i="116"/>
  <c r="K137" i="116" s="1"/>
  <c r="R23" i="116"/>
  <c r="K138" i="70"/>
  <c r="K84" i="116"/>
  <c r="K138" i="116" s="1"/>
  <c r="R19" i="116"/>
  <c r="M84" i="70"/>
  <c r="N84" i="70" s="1"/>
  <c r="J84" i="116"/>
  <c r="J138" i="116" s="1"/>
  <c r="J138" i="70"/>
  <c r="J131" i="70"/>
  <c r="M131" i="70" s="1"/>
  <c r="J77" i="116"/>
  <c r="J131" i="116" s="1"/>
  <c r="M131" i="116" s="1"/>
  <c r="K130" i="70"/>
  <c r="K76" i="116"/>
  <c r="K130" i="116" s="1"/>
  <c r="W27" i="70"/>
  <c r="D53" i="70" s="1"/>
  <c r="S27" i="116"/>
  <c r="R21" i="116"/>
  <c r="W16" i="116"/>
  <c r="D42" i="116" s="1"/>
  <c r="H50" i="70"/>
  <c r="I50" i="70" s="1"/>
  <c r="W23" i="70"/>
  <c r="D49" i="70" s="1"/>
  <c r="S23" i="116"/>
  <c r="S25" i="116"/>
  <c r="W25" i="70"/>
  <c r="D51" i="70" s="1"/>
  <c r="K131" i="70"/>
  <c r="K77" i="116"/>
  <c r="K131" i="116" s="1"/>
  <c r="R15" i="116"/>
  <c r="H54" i="70"/>
  <c r="I54" i="70" s="1"/>
  <c r="M55" i="70"/>
  <c r="N55" i="70" s="1"/>
  <c r="M48" i="70"/>
  <c r="N48" i="70" s="1"/>
  <c r="J130" i="70"/>
  <c r="J76" i="116"/>
  <c r="J130" i="116" s="1"/>
  <c r="M130" i="116" s="1"/>
  <c r="H52" i="70"/>
  <c r="I52" i="70" s="1"/>
  <c r="R29" i="116"/>
  <c r="F15" i="55"/>
  <c r="H11" i="55"/>
  <c r="H42" i="70"/>
  <c r="I42" i="70" s="1"/>
  <c r="W26" i="116"/>
  <c r="D52" i="116" s="1"/>
  <c r="H52" i="116" s="1"/>
  <c r="I52" i="116" s="1"/>
  <c r="M52" i="116" s="1"/>
  <c r="N52" i="116" s="1"/>
  <c r="R52" i="116" s="1"/>
  <c r="S52" i="116" s="1"/>
  <c r="W52" i="116" s="1"/>
  <c r="F21" i="55"/>
  <c r="E22" i="55"/>
  <c r="R25" i="116"/>
  <c r="S30" i="116"/>
  <c r="W30" i="70"/>
  <c r="D56" i="70" s="1"/>
  <c r="W24" i="116"/>
  <c r="D50" i="116" s="1"/>
  <c r="I138" i="116"/>
  <c r="R22" i="116"/>
  <c r="M31" i="70"/>
  <c r="N14" i="70"/>
  <c r="M83" i="70"/>
  <c r="N83" i="70" s="1"/>
  <c r="J83" i="116"/>
  <c r="J137" i="116" s="1"/>
  <c r="J137" i="70"/>
  <c r="M137" i="70" s="1"/>
  <c r="W19" i="70"/>
  <c r="D45" i="70" s="1"/>
  <c r="S19" i="116"/>
  <c r="M125" i="70"/>
  <c r="R27" i="116"/>
  <c r="O71" i="70"/>
  <c r="P71" i="70"/>
  <c r="R71" i="70"/>
  <c r="S71" i="70" s="1"/>
  <c r="N125" i="70"/>
  <c r="P77" i="70"/>
  <c r="O77" i="70"/>
  <c r="M76" i="70"/>
  <c r="N76" i="70" s="1"/>
  <c r="N131" i="70"/>
  <c r="M71" i="116"/>
  <c r="N71" i="116" s="1"/>
  <c r="W28" i="116"/>
  <c r="D54" i="116" s="1"/>
  <c r="W20" i="116"/>
  <c r="D46" i="116" s="1"/>
  <c r="R30" i="116"/>
  <c r="H44" i="70"/>
  <c r="I44" i="70" s="1"/>
  <c r="M138" i="70" l="1"/>
  <c r="M130" i="70"/>
  <c r="M137" i="116"/>
  <c r="U71" i="70"/>
  <c r="S71" i="116"/>
  <c r="T71" i="70"/>
  <c r="S125" i="70"/>
  <c r="M44" i="70"/>
  <c r="N44" i="70" s="1"/>
  <c r="H45" i="70"/>
  <c r="I45" i="70" s="1"/>
  <c r="H41" i="70"/>
  <c r="I41" i="70" s="1"/>
  <c r="M83" i="116"/>
  <c r="N83" i="116" s="1"/>
  <c r="M84" i="116"/>
  <c r="N84" i="116" s="1"/>
  <c r="W27" i="116"/>
  <c r="D53" i="116" s="1"/>
  <c r="O84" i="70"/>
  <c r="P84" i="70"/>
  <c r="N138" i="70"/>
  <c r="W15" i="116"/>
  <c r="D41" i="116" s="1"/>
  <c r="H53" i="70"/>
  <c r="I53" i="70" s="1"/>
  <c r="H50" i="116"/>
  <c r="I50" i="116" s="1"/>
  <c r="M50" i="116" s="1"/>
  <c r="N50" i="116" s="1"/>
  <c r="R50" i="116" s="1"/>
  <c r="S50" i="116" s="1"/>
  <c r="W50" i="116" s="1"/>
  <c r="M50" i="70"/>
  <c r="N50" i="70" s="1"/>
  <c r="W21" i="116"/>
  <c r="D47" i="116" s="1"/>
  <c r="M46" i="70"/>
  <c r="N46" i="70" s="1"/>
  <c r="P131" i="70"/>
  <c r="P77" i="116"/>
  <c r="P131" i="116" s="1"/>
  <c r="N137" i="70"/>
  <c r="P83" i="70"/>
  <c r="O83" i="70"/>
  <c r="R83" i="70" s="1"/>
  <c r="S83" i="70" s="1"/>
  <c r="R55" i="70"/>
  <c r="S55" i="70" s="1"/>
  <c r="H47" i="70"/>
  <c r="I47" i="70" s="1"/>
  <c r="H43" i="116"/>
  <c r="I43" i="116" s="1"/>
  <c r="M43" i="116" s="1"/>
  <c r="N43" i="116" s="1"/>
  <c r="R43" i="116" s="1"/>
  <c r="S43" i="116" s="1"/>
  <c r="W43" i="116" s="1"/>
  <c r="H54" i="116"/>
  <c r="I54" i="116" s="1"/>
  <c r="M54" i="116" s="1"/>
  <c r="N54" i="116" s="1"/>
  <c r="R54" i="116" s="1"/>
  <c r="S54" i="116" s="1"/>
  <c r="W54" i="116" s="1"/>
  <c r="M42" i="70"/>
  <c r="N42" i="70" s="1"/>
  <c r="P71" i="116"/>
  <c r="P125" i="116" s="1"/>
  <c r="P125" i="70"/>
  <c r="O125" i="70"/>
  <c r="O71" i="116"/>
  <c r="O125" i="116" s="1"/>
  <c r="H49" i="70"/>
  <c r="I49" i="70" s="1"/>
  <c r="R48" i="70"/>
  <c r="S48" i="70" s="1"/>
  <c r="R77" i="70"/>
  <c r="S77" i="70" s="1"/>
  <c r="O131" i="70"/>
  <c r="O77" i="116"/>
  <c r="O131" i="116" s="1"/>
  <c r="H51" i="70"/>
  <c r="I51" i="70" s="1"/>
  <c r="H42" i="116"/>
  <c r="I42" i="116" s="1"/>
  <c r="M42" i="116" s="1"/>
  <c r="N42" i="116" s="1"/>
  <c r="R42" i="116" s="1"/>
  <c r="S42" i="116" s="1"/>
  <c r="W42" i="116" s="1"/>
  <c r="M43" i="70"/>
  <c r="N43" i="70" s="1"/>
  <c r="W19" i="116"/>
  <c r="D45" i="116" s="1"/>
  <c r="M54" i="70"/>
  <c r="N54" i="70" s="1"/>
  <c r="N125" i="116"/>
  <c r="H14" i="55"/>
  <c r="H15" i="55" s="1"/>
  <c r="H20" i="55"/>
  <c r="I11" i="55"/>
  <c r="W23" i="116"/>
  <c r="D49" i="116" s="1"/>
  <c r="M138" i="116"/>
  <c r="N130" i="70"/>
  <c r="P76" i="70"/>
  <c r="O76" i="70"/>
  <c r="R76" i="70"/>
  <c r="S76" i="70" s="1"/>
  <c r="F22" i="55"/>
  <c r="G27" i="58"/>
  <c r="N14" i="116"/>
  <c r="M31" i="116"/>
  <c r="H46" i="116"/>
  <c r="I46" i="116" s="1"/>
  <c r="M46" i="116" s="1"/>
  <c r="N46" i="116" s="1"/>
  <c r="R46" i="116" s="1"/>
  <c r="S46" i="116" s="1"/>
  <c r="W46" i="116" s="1"/>
  <c r="R14" i="70"/>
  <c r="N31" i="70"/>
  <c r="J11" i="63" s="1"/>
  <c r="H56" i="70"/>
  <c r="I56" i="70" s="1"/>
  <c r="M52" i="70"/>
  <c r="N52" i="70" s="1"/>
  <c r="M76" i="116"/>
  <c r="N76" i="116" s="1"/>
  <c r="W30" i="116"/>
  <c r="D56" i="116" s="1"/>
  <c r="M77" i="116"/>
  <c r="N77" i="116" s="1"/>
  <c r="W25" i="116"/>
  <c r="D51" i="116" s="1"/>
  <c r="H44" i="116"/>
  <c r="I44" i="116" s="1"/>
  <c r="M44" i="116" s="1"/>
  <c r="N44" i="116" s="1"/>
  <c r="R44" i="116" s="1"/>
  <c r="S44" i="116" s="1"/>
  <c r="W44" i="116" s="1"/>
  <c r="R125" i="70" l="1"/>
  <c r="H56" i="116"/>
  <c r="I56" i="116" s="1"/>
  <c r="M56" i="116" s="1"/>
  <c r="N56" i="116" s="1"/>
  <c r="R56" i="116" s="1"/>
  <c r="S56" i="116" s="1"/>
  <c r="W56" i="116" s="1"/>
  <c r="I15" i="55"/>
  <c r="K11" i="55"/>
  <c r="S14" i="70"/>
  <c r="R31" i="70"/>
  <c r="I14" i="55"/>
  <c r="H21" i="55"/>
  <c r="I21" i="55" s="1"/>
  <c r="R42" i="70"/>
  <c r="S42" i="70" s="1"/>
  <c r="H53" i="116"/>
  <c r="I53" i="116" s="1"/>
  <c r="M53" i="116" s="1"/>
  <c r="N53" i="116" s="1"/>
  <c r="R53" i="116" s="1"/>
  <c r="S53" i="116" s="1"/>
  <c r="W53" i="116" s="1"/>
  <c r="N31" i="116"/>
  <c r="R14" i="116"/>
  <c r="R31" i="116" s="1"/>
  <c r="M49" i="70"/>
  <c r="N49" i="70" s="1"/>
  <c r="O83" i="116"/>
  <c r="O137" i="116" s="1"/>
  <c r="O137" i="70"/>
  <c r="H47" i="116"/>
  <c r="I47" i="116" s="1"/>
  <c r="M47" i="116" s="1"/>
  <c r="N47" i="116" s="1"/>
  <c r="R47" i="116" s="1"/>
  <c r="S47" i="116" s="1"/>
  <c r="W47" i="116" s="1"/>
  <c r="H41" i="116"/>
  <c r="I41" i="116" s="1"/>
  <c r="M41" i="116" s="1"/>
  <c r="N41" i="116" s="1"/>
  <c r="R41" i="116" s="1"/>
  <c r="S41" i="116" s="1"/>
  <c r="W41" i="116" s="1"/>
  <c r="N137" i="116"/>
  <c r="W71" i="70"/>
  <c r="D98" i="70" s="1"/>
  <c r="T71" i="116"/>
  <c r="T125" i="116" s="1"/>
  <c r="T125" i="70"/>
  <c r="W125" i="70" s="1"/>
  <c r="U76" i="70"/>
  <c r="T76" i="70"/>
  <c r="W76" i="70" s="1"/>
  <c r="D103" i="70" s="1"/>
  <c r="S76" i="116"/>
  <c r="S130" i="70"/>
  <c r="P84" i="116"/>
  <c r="P138" i="116" s="1"/>
  <c r="P138" i="70"/>
  <c r="O130" i="70"/>
  <c r="O76" i="116"/>
  <c r="O130" i="116" s="1"/>
  <c r="T77" i="70"/>
  <c r="S77" i="116"/>
  <c r="U77" i="70"/>
  <c r="S131" i="70"/>
  <c r="O84" i="116"/>
  <c r="O138" i="116" s="1"/>
  <c r="O138" i="70"/>
  <c r="R138" i="70" s="1"/>
  <c r="R43" i="70"/>
  <c r="S43" i="70" s="1"/>
  <c r="R71" i="116"/>
  <c r="W55" i="70"/>
  <c r="M53" i="70"/>
  <c r="N53" i="70" s="1"/>
  <c r="U83" i="70"/>
  <c r="T83" i="70"/>
  <c r="W83" i="70" s="1"/>
  <c r="D110" i="70" s="1"/>
  <c r="S83" i="116"/>
  <c r="S137" i="70"/>
  <c r="N138" i="116"/>
  <c r="R138" i="116" s="1"/>
  <c r="H51" i="116"/>
  <c r="I51" i="116" s="1"/>
  <c r="M51" i="116" s="1"/>
  <c r="N51" i="116" s="1"/>
  <c r="R51" i="116" s="1"/>
  <c r="S51" i="116" s="1"/>
  <c r="W51" i="116" s="1"/>
  <c r="M56" i="70"/>
  <c r="N56" i="70" s="1"/>
  <c r="H49" i="116"/>
  <c r="I49" i="116" s="1"/>
  <c r="M49" i="116" s="1"/>
  <c r="N49" i="116" s="1"/>
  <c r="R49" i="116" s="1"/>
  <c r="S49" i="116" s="1"/>
  <c r="W49" i="116" s="1"/>
  <c r="M51" i="70"/>
  <c r="N51" i="70" s="1"/>
  <c r="R125" i="116"/>
  <c r="P137" i="70"/>
  <c r="P83" i="116"/>
  <c r="P137" i="116" s="1"/>
  <c r="S125" i="116"/>
  <c r="H45" i="116"/>
  <c r="I45" i="116" s="1"/>
  <c r="M45" i="116" s="1"/>
  <c r="N45" i="116" s="1"/>
  <c r="R45" i="116" s="1"/>
  <c r="S45" i="116" s="1"/>
  <c r="W45" i="116" s="1"/>
  <c r="I20" i="55"/>
  <c r="M47" i="70"/>
  <c r="N47" i="70" s="1"/>
  <c r="R131" i="70"/>
  <c r="M45" i="70"/>
  <c r="N45" i="70" s="1"/>
  <c r="N130" i="116"/>
  <c r="P76" i="116"/>
  <c r="P130" i="116" s="1"/>
  <c r="P130" i="70"/>
  <c r="R130" i="70"/>
  <c r="W48" i="70"/>
  <c r="R46" i="70"/>
  <c r="S46" i="70" s="1"/>
  <c r="R44" i="70"/>
  <c r="S44" i="70" s="1"/>
  <c r="R52" i="70"/>
  <c r="S52" i="70" s="1"/>
  <c r="R77" i="116"/>
  <c r="N131" i="116"/>
  <c r="R131" i="116" s="1"/>
  <c r="F27" i="58"/>
  <c r="H27" i="58" s="1"/>
  <c r="R54" i="70"/>
  <c r="S54" i="70" s="1"/>
  <c r="R50" i="70"/>
  <c r="S50" i="70" s="1"/>
  <c r="R84" i="70"/>
  <c r="S84" i="70" s="1"/>
  <c r="M41" i="70"/>
  <c r="N41" i="70" s="1"/>
  <c r="U125" i="70"/>
  <c r="U71" i="116"/>
  <c r="U125" i="116" s="1"/>
  <c r="R137" i="70" l="1"/>
  <c r="W125" i="116"/>
  <c r="R83" i="116"/>
  <c r="U77" i="116"/>
  <c r="U131" i="116" s="1"/>
  <c r="U131" i="70"/>
  <c r="R49" i="70"/>
  <c r="S49" i="70" s="1"/>
  <c r="S131" i="116"/>
  <c r="T83" i="116"/>
  <c r="T137" i="116" s="1"/>
  <c r="T137" i="70"/>
  <c r="R47" i="70"/>
  <c r="S47" i="70" s="1"/>
  <c r="H22" i="55"/>
  <c r="W50" i="70"/>
  <c r="R45" i="70"/>
  <c r="S45" i="70" s="1"/>
  <c r="E110" i="70"/>
  <c r="F110" i="70"/>
  <c r="D163" i="70"/>
  <c r="S130" i="116"/>
  <c r="S137" i="116"/>
  <c r="T76" i="116"/>
  <c r="T130" i="116" s="1"/>
  <c r="T130" i="70"/>
  <c r="W43" i="70"/>
  <c r="U130" i="70"/>
  <c r="W130" i="70" s="1"/>
  <c r="U76" i="116"/>
  <c r="U130" i="116" s="1"/>
  <c r="W14" i="70"/>
  <c r="S31" i="70"/>
  <c r="S14" i="116"/>
  <c r="W52" i="70"/>
  <c r="L11" i="55"/>
  <c r="K20" i="55"/>
  <c r="R41" i="70"/>
  <c r="S41" i="70" s="1"/>
  <c r="R130" i="116"/>
  <c r="R53" i="70"/>
  <c r="S53" i="70" s="1"/>
  <c r="F98" i="70"/>
  <c r="E98" i="70"/>
  <c r="D151" i="70"/>
  <c r="W46" i="70"/>
  <c r="F103" i="70"/>
  <c r="D156" i="70"/>
  <c r="W71" i="116"/>
  <c r="D98" i="116" s="1"/>
  <c r="T131" i="70"/>
  <c r="W131" i="70" s="1"/>
  <c r="T77" i="116"/>
  <c r="T131" i="116" s="1"/>
  <c r="R56" i="70"/>
  <c r="S56" i="70" s="1"/>
  <c r="G23" i="69"/>
  <c r="G24" i="69" s="1"/>
  <c r="F23" i="69"/>
  <c r="W54" i="70"/>
  <c r="U83" i="116"/>
  <c r="U137" i="116" s="1"/>
  <c r="U137" i="70"/>
  <c r="S84" i="116"/>
  <c r="U84" i="70"/>
  <c r="T84" i="70"/>
  <c r="W84" i="70" s="1"/>
  <c r="D111" i="70" s="1"/>
  <c r="S138" i="70"/>
  <c r="W44" i="70"/>
  <c r="R76" i="116"/>
  <c r="R51" i="70"/>
  <c r="S51" i="70" s="1"/>
  <c r="R84" i="116"/>
  <c r="W77" i="70"/>
  <c r="D104" i="70" s="1"/>
  <c r="R137" i="116"/>
  <c r="W42" i="70"/>
  <c r="W137" i="70" l="1"/>
  <c r="E110" i="116"/>
  <c r="E163" i="116" s="1"/>
  <c r="E163" i="70"/>
  <c r="D40" i="70"/>
  <c r="W31" i="70"/>
  <c r="W83" i="116"/>
  <c r="D110" i="116" s="1"/>
  <c r="T84" i="116"/>
  <c r="T138" i="116" s="1"/>
  <c r="T138" i="70"/>
  <c r="W138" i="70" s="1"/>
  <c r="F103" i="116"/>
  <c r="F156" i="116" s="1"/>
  <c r="F156" i="70"/>
  <c r="K27" i="58"/>
  <c r="I22" i="55"/>
  <c r="W49" i="70"/>
  <c r="D151" i="116"/>
  <c r="W131" i="116"/>
  <c r="W130" i="116"/>
  <c r="F104" i="70"/>
  <c r="E104" i="70"/>
  <c r="H104" i="70" s="1"/>
  <c r="I104" i="70" s="1"/>
  <c r="D157" i="70"/>
  <c r="F24" i="69"/>
  <c r="H23" i="69"/>
  <c r="H24" i="69" s="1"/>
  <c r="U138" i="70"/>
  <c r="U84" i="116"/>
  <c r="U138" i="116" s="1"/>
  <c r="W53" i="70"/>
  <c r="F163" i="70"/>
  <c r="H163" i="70" s="1"/>
  <c r="F110" i="116"/>
  <c r="F163" i="116" s="1"/>
  <c r="S31" i="116"/>
  <c r="W14" i="116"/>
  <c r="W41" i="70"/>
  <c r="W137" i="116"/>
  <c r="H98" i="70"/>
  <c r="I98" i="70" s="1"/>
  <c r="E98" i="116"/>
  <c r="E151" i="116" s="1"/>
  <c r="E151" i="70"/>
  <c r="W45" i="70"/>
  <c r="F151" i="70"/>
  <c r="F98" i="116"/>
  <c r="F151" i="116" s="1"/>
  <c r="L20" i="55"/>
  <c r="W77" i="116"/>
  <c r="D104" i="116" s="1"/>
  <c r="H111" i="70"/>
  <c r="I111" i="70" s="1"/>
  <c r="E111" i="70"/>
  <c r="F111" i="70"/>
  <c r="D164" i="70"/>
  <c r="W76" i="116"/>
  <c r="D103" i="116" s="1"/>
  <c r="W51" i="70"/>
  <c r="S138" i="116"/>
  <c r="W56" i="70"/>
  <c r="H110" i="70"/>
  <c r="I110" i="70" s="1"/>
  <c r="W47" i="70"/>
  <c r="H151" i="116" l="1"/>
  <c r="I151" i="116" s="1"/>
  <c r="M151" i="116" s="1"/>
  <c r="N151" i="116" s="1"/>
  <c r="R151" i="116" s="1"/>
  <c r="S151" i="116" s="1"/>
  <c r="W151" i="116" s="1"/>
  <c r="W138" i="116"/>
  <c r="W84" i="116"/>
  <c r="D111" i="116" s="1"/>
  <c r="H98" i="116"/>
  <c r="I98" i="116" s="1"/>
  <c r="D157" i="116"/>
  <c r="K104" i="70"/>
  <c r="J104" i="70"/>
  <c r="M104" i="70"/>
  <c r="N104" i="70" s="1"/>
  <c r="I157" i="70"/>
  <c r="D156" i="116"/>
  <c r="K110" i="70"/>
  <c r="J110" i="70"/>
  <c r="M110" i="70" s="1"/>
  <c r="N110" i="70" s="1"/>
  <c r="I163" i="70"/>
  <c r="H151" i="70"/>
  <c r="F104" i="116"/>
  <c r="F157" i="116" s="1"/>
  <c r="F157" i="70"/>
  <c r="H157" i="70" s="1"/>
  <c r="J27" i="58"/>
  <c r="L27" i="58" s="1"/>
  <c r="H40" i="70"/>
  <c r="D57" i="70"/>
  <c r="D40" i="116"/>
  <c r="W31" i="116"/>
  <c r="E157" i="70"/>
  <c r="E104" i="116"/>
  <c r="E157" i="116" s="1"/>
  <c r="F111" i="116"/>
  <c r="F164" i="116" s="1"/>
  <c r="F164" i="70"/>
  <c r="J111" i="70"/>
  <c r="K111" i="70"/>
  <c r="I164" i="70"/>
  <c r="D164" i="116"/>
  <c r="I23" i="69"/>
  <c r="I24" i="69" s="1"/>
  <c r="E30" i="63"/>
  <c r="K98" i="70"/>
  <c r="J98" i="70"/>
  <c r="I151" i="70"/>
  <c r="H110" i="116"/>
  <c r="I110" i="116" s="1"/>
  <c r="D163" i="116"/>
  <c r="H163" i="116" s="1"/>
  <c r="I163" i="116" s="1"/>
  <c r="M163" i="116" s="1"/>
  <c r="N163" i="116" s="1"/>
  <c r="R163" i="116" s="1"/>
  <c r="S163" i="116" s="1"/>
  <c r="W163" i="116" s="1"/>
  <c r="E164" i="70"/>
  <c r="E111" i="116"/>
  <c r="E164" i="116" s="1"/>
  <c r="H111" i="116" l="1"/>
  <c r="I111" i="116" s="1"/>
  <c r="P110" i="70"/>
  <c r="O110" i="70"/>
  <c r="N163" i="70"/>
  <c r="H40" i="116"/>
  <c r="D57" i="116"/>
  <c r="M111" i="70"/>
  <c r="N111" i="70" s="1"/>
  <c r="J164" i="70"/>
  <c r="J111" i="116"/>
  <c r="P104" i="70"/>
  <c r="O104" i="70"/>
  <c r="N157" i="70"/>
  <c r="K98" i="116"/>
  <c r="K151" i="70"/>
  <c r="J104" i="116"/>
  <c r="J157" i="70"/>
  <c r="H57" i="70"/>
  <c r="I40" i="70"/>
  <c r="K157" i="70"/>
  <c r="K104" i="116"/>
  <c r="K111" i="116"/>
  <c r="M111" i="116" s="1"/>
  <c r="N111" i="116" s="1"/>
  <c r="K164" i="70"/>
  <c r="J163" i="70"/>
  <c r="J110" i="116"/>
  <c r="M110" i="116" s="1"/>
  <c r="N110" i="116" s="1"/>
  <c r="H157" i="116"/>
  <c r="I157" i="116" s="1"/>
  <c r="M157" i="116" s="1"/>
  <c r="N157" i="116" s="1"/>
  <c r="R157" i="116" s="1"/>
  <c r="S157" i="116" s="1"/>
  <c r="W157" i="116" s="1"/>
  <c r="M98" i="70"/>
  <c r="N98" i="70" s="1"/>
  <c r="J98" i="116"/>
  <c r="J151" i="70"/>
  <c r="H164" i="70"/>
  <c r="H164" i="116"/>
  <c r="I164" i="116" s="1"/>
  <c r="M164" i="116" s="1"/>
  <c r="N164" i="116" s="1"/>
  <c r="R164" i="116" s="1"/>
  <c r="S164" i="116" s="1"/>
  <c r="W164" i="116" s="1"/>
  <c r="K110" i="116"/>
  <c r="K163" i="70"/>
  <c r="H104" i="116"/>
  <c r="I104" i="116" s="1"/>
  <c r="M151" i="70" l="1"/>
  <c r="R104" i="70"/>
  <c r="S104" i="70" s="1"/>
  <c r="R110" i="70"/>
  <c r="S110" i="70" s="1"/>
  <c r="M98" i="116"/>
  <c r="N98" i="116" s="1"/>
  <c r="M164" i="70"/>
  <c r="U110" i="70"/>
  <c r="T110" i="70"/>
  <c r="S163" i="70"/>
  <c r="O98" i="70"/>
  <c r="P98" i="70"/>
  <c r="N151" i="70"/>
  <c r="H57" i="116"/>
  <c r="I40" i="116"/>
  <c r="O157" i="70"/>
  <c r="O104" i="116"/>
  <c r="M157" i="70"/>
  <c r="M163" i="70"/>
  <c r="M104" i="116"/>
  <c r="N104" i="116" s="1"/>
  <c r="F30" i="63"/>
  <c r="J23" i="69"/>
  <c r="J24" i="69" s="1"/>
  <c r="P111" i="70"/>
  <c r="O111" i="70"/>
  <c r="N164" i="70"/>
  <c r="T104" i="70"/>
  <c r="W104" i="70" s="1"/>
  <c r="U104" i="70"/>
  <c r="S157" i="70"/>
  <c r="I57" i="70"/>
  <c r="K14" i="55" s="1"/>
  <c r="M40" i="70"/>
  <c r="P104" i="116"/>
  <c r="P157" i="70"/>
  <c r="O163" i="70"/>
  <c r="O110" i="116"/>
  <c r="P110" i="116"/>
  <c r="P163" i="70"/>
  <c r="R110" i="116" l="1"/>
  <c r="S110" i="116" s="1"/>
  <c r="R163" i="70"/>
  <c r="T104" i="116"/>
  <c r="T157" i="70"/>
  <c r="N40" i="70"/>
  <c r="M57" i="70"/>
  <c r="R164" i="70"/>
  <c r="R111" i="70"/>
  <c r="S111" i="70" s="1"/>
  <c r="O111" i="116"/>
  <c r="O164" i="70"/>
  <c r="M40" i="116"/>
  <c r="I57" i="116"/>
  <c r="U104" i="116"/>
  <c r="U157" i="70"/>
  <c r="W157" i="70" s="1"/>
  <c r="P151" i="70"/>
  <c r="P98" i="116"/>
  <c r="L14" i="55"/>
  <c r="K21" i="55"/>
  <c r="K15" i="55"/>
  <c r="P111" i="116"/>
  <c r="P164" i="70"/>
  <c r="R104" i="116"/>
  <c r="S104" i="116" s="1"/>
  <c r="W104" i="116" s="1"/>
  <c r="W110" i="70"/>
  <c r="T163" i="70"/>
  <c r="W163" i="70" s="1"/>
  <c r="T110" i="116"/>
  <c r="R98" i="70"/>
  <c r="S98" i="70" s="1"/>
  <c r="O151" i="70"/>
  <c r="O98" i="116"/>
  <c r="R157" i="70"/>
  <c r="U163" i="70"/>
  <c r="U110" i="116"/>
  <c r="W110" i="116" l="1"/>
  <c r="R111" i="116"/>
  <c r="S111" i="116" s="1"/>
  <c r="K23" i="69"/>
  <c r="K24" i="69" s="1"/>
  <c r="G30" i="63"/>
  <c r="R151" i="70"/>
  <c r="D54" i="55"/>
  <c r="L15" i="55"/>
  <c r="M57" i="116"/>
  <c r="N40" i="116"/>
  <c r="T111" i="70"/>
  <c r="U111" i="70"/>
  <c r="W111" i="70" s="1"/>
  <c r="S164" i="70"/>
  <c r="R98" i="116"/>
  <c r="S98" i="116" s="1"/>
  <c r="N57" i="70"/>
  <c r="R40" i="70"/>
  <c r="U98" i="70"/>
  <c r="T98" i="70"/>
  <c r="S151" i="70"/>
  <c r="L21" i="55"/>
  <c r="K22" i="55"/>
  <c r="W98" i="70" l="1"/>
  <c r="R40" i="116"/>
  <c r="N57" i="116"/>
  <c r="P27" i="58"/>
  <c r="O27" i="58"/>
  <c r="Q27" i="58" s="1"/>
  <c r="L22" i="55"/>
  <c r="W98" i="116"/>
  <c r="R57" i="70"/>
  <c r="S40" i="70"/>
  <c r="T151" i="70"/>
  <c r="T98" i="116"/>
  <c r="U111" i="116"/>
  <c r="U164" i="70"/>
  <c r="D63" i="55"/>
  <c r="D57" i="55"/>
  <c r="D64" i="55" s="1"/>
  <c r="D58" i="55"/>
  <c r="E54" i="55" s="1"/>
  <c r="U98" i="116"/>
  <c r="U151" i="70"/>
  <c r="T164" i="70"/>
  <c r="T111" i="116"/>
  <c r="W111" i="116" l="1"/>
  <c r="W164" i="70"/>
  <c r="W151" i="70"/>
  <c r="E57" i="55"/>
  <c r="E64" i="55" s="1"/>
  <c r="E58" i="55"/>
  <c r="F54" i="55" s="1"/>
  <c r="E63" i="55"/>
  <c r="D65" i="55"/>
  <c r="S27" i="58" s="1"/>
  <c r="N27" i="58"/>
  <c r="R27" i="58" s="1"/>
  <c r="W40" i="70"/>
  <c r="W57" i="70" s="1"/>
  <c r="S57" i="70"/>
  <c r="H30" i="63"/>
  <c r="L23" i="69"/>
  <c r="L24" i="69" s="1"/>
  <c r="S40" i="116"/>
  <c r="R57" i="116"/>
  <c r="W40" i="116" l="1"/>
  <c r="W57" i="116" s="1"/>
  <c r="S57" i="116"/>
  <c r="E65" i="55"/>
  <c r="T27" i="58" s="1"/>
  <c r="F57" i="55"/>
  <c r="F64" i="55" s="1"/>
  <c r="F58" i="55"/>
  <c r="G54" i="55" s="1"/>
  <c r="F63" i="55"/>
  <c r="F65" i="55" s="1"/>
  <c r="U27" i="58" s="1"/>
  <c r="I30" i="63" l="1"/>
  <c r="M23" i="69"/>
  <c r="M24" i="69" s="1"/>
  <c r="G57" i="55"/>
  <c r="G64" i="55" s="1"/>
  <c r="G63" i="55"/>
  <c r="G65" i="55" s="1"/>
  <c r="V27" i="58" s="1"/>
  <c r="G58" i="55"/>
  <c r="H54" i="55" s="1"/>
  <c r="H63" i="55" l="1"/>
  <c r="H57" i="55"/>
  <c r="H64" i="55" s="1"/>
  <c r="H58" i="55" l="1"/>
  <c r="H65" i="55"/>
  <c r="W27" i="58" s="1"/>
  <c r="A83" i="70" l="1"/>
  <c r="A110" i="70" s="1"/>
  <c r="A76" i="70"/>
  <c r="A103" i="70" s="1"/>
  <c r="E103" i="70" s="1"/>
  <c r="A84" i="70"/>
  <c r="A111" i="70" s="1"/>
  <c r="A71" i="70"/>
  <c r="A98" i="70" s="1"/>
  <c r="A77" i="70"/>
  <c r="A104" i="70" s="1"/>
  <c r="A69" i="70" l="1"/>
  <c r="A96" i="70" s="1"/>
  <c r="E69" i="70"/>
  <c r="A68" i="70"/>
  <c r="A95" i="70" s="1"/>
  <c r="E68" i="70"/>
  <c r="A72" i="70"/>
  <c r="A99" i="70" s="1"/>
  <c r="E72" i="70"/>
  <c r="A70" i="70"/>
  <c r="A97" i="70" s="1"/>
  <c r="E70" i="70"/>
  <c r="A81" i="70"/>
  <c r="A108" i="70" s="1"/>
  <c r="E81" i="70"/>
  <c r="A82" i="70"/>
  <c r="A109" i="70" s="1"/>
  <c r="E82" i="70"/>
  <c r="A79" i="70"/>
  <c r="A106" i="70" s="1"/>
  <c r="E79" i="70"/>
  <c r="A75" i="70"/>
  <c r="A102" i="70" s="1"/>
  <c r="E75" i="70"/>
  <c r="E103" i="116"/>
  <c r="E156" i="70"/>
  <c r="H156" i="70" s="1"/>
  <c r="H103" i="70"/>
  <c r="I103" i="70" s="1"/>
  <c r="A74" i="70"/>
  <c r="A101" i="70" s="1"/>
  <c r="E74" i="70"/>
  <c r="A73" i="70"/>
  <c r="A100" i="70" s="1"/>
  <c r="E73" i="70"/>
  <c r="A80" i="70"/>
  <c r="A107" i="70" s="1"/>
  <c r="E80" i="70"/>
  <c r="A78" i="70"/>
  <c r="A105" i="70" s="1"/>
  <c r="E78" i="70"/>
  <c r="H70" i="70" l="1"/>
  <c r="I70" i="70" s="1"/>
  <c r="E70" i="116"/>
  <c r="E124" i="70"/>
  <c r="H124" i="70" s="1"/>
  <c r="E82" i="116"/>
  <c r="E136" i="70"/>
  <c r="H136" i="70" s="1"/>
  <c r="H82" i="70"/>
  <c r="I82" i="70" s="1"/>
  <c r="E85" i="70"/>
  <c r="H68" i="70"/>
  <c r="E122" i="70"/>
  <c r="E68" i="116"/>
  <c r="E129" i="70"/>
  <c r="H129" i="70" s="1"/>
  <c r="E75" i="116"/>
  <c r="H75" i="70"/>
  <c r="I75" i="70" s="1"/>
  <c r="H72" i="70"/>
  <c r="I72" i="70" s="1"/>
  <c r="E72" i="116"/>
  <c r="E126" i="70"/>
  <c r="H126" i="70" s="1"/>
  <c r="E78" i="116"/>
  <c r="H78" i="70"/>
  <c r="I78" i="70" s="1"/>
  <c r="E132" i="70"/>
  <c r="H132" i="70" s="1"/>
  <c r="K103" i="70"/>
  <c r="J103" i="70"/>
  <c r="I156" i="70"/>
  <c r="E73" i="116"/>
  <c r="E127" i="70"/>
  <c r="H127" i="70" s="1"/>
  <c r="H73" i="70"/>
  <c r="I73" i="70" s="1"/>
  <c r="H79" i="70"/>
  <c r="I79" i="70" s="1"/>
  <c r="E133" i="70"/>
  <c r="H133" i="70" s="1"/>
  <c r="E79" i="116"/>
  <c r="E128" i="70"/>
  <c r="H128" i="70" s="1"/>
  <c r="H74" i="70"/>
  <c r="I74" i="70" s="1"/>
  <c r="E74" i="116"/>
  <c r="H81" i="70"/>
  <c r="I81" i="70" s="1"/>
  <c r="E81" i="116"/>
  <c r="E135" i="70"/>
  <c r="H135" i="70" s="1"/>
  <c r="E69" i="116"/>
  <c r="H69" i="70"/>
  <c r="I69" i="70" s="1"/>
  <c r="E123" i="70"/>
  <c r="H123" i="70" s="1"/>
  <c r="E80" i="116"/>
  <c r="H80" i="70"/>
  <c r="I80" i="70" s="1"/>
  <c r="E134" i="70"/>
  <c r="H134" i="70" s="1"/>
  <c r="E156" i="116"/>
  <c r="H156" i="116" s="1"/>
  <c r="I156" i="116" s="1"/>
  <c r="M156" i="116" s="1"/>
  <c r="N156" i="116" s="1"/>
  <c r="R156" i="116" s="1"/>
  <c r="S156" i="116" s="1"/>
  <c r="W156" i="116" s="1"/>
  <c r="H103" i="116"/>
  <c r="I103" i="116" s="1"/>
  <c r="K81" i="70" l="1"/>
  <c r="J81" i="70"/>
  <c r="M81" i="70" s="1"/>
  <c r="N81" i="70" s="1"/>
  <c r="I135" i="70"/>
  <c r="J80" i="70"/>
  <c r="K80" i="70"/>
  <c r="M80" i="70" s="1"/>
  <c r="N80" i="70" s="1"/>
  <c r="I134" i="70"/>
  <c r="J72" i="70"/>
  <c r="K72" i="70"/>
  <c r="I126" i="70"/>
  <c r="J75" i="70"/>
  <c r="K75" i="70"/>
  <c r="I129" i="70"/>
  <c r="H79" i="116"/>
  <c r="I79" i="116" s="1"/>
  <c r="E133" i="116"/>
  <c r="H133" i="116" s="1"/>
  <c r="K156" i="70"/>
  <c r="K103" i="116"/>
  <c r="E129" i="116"/>
  <c r="H129" i="116" s="1"/>
  <c r="H75" i="116"/>
  <c r="I75" i="116" s="1"/>
  <c r="H82" i="116"/>
  <c r="I82" i="116" s="1"/>
  <c r="E136" i="116"/>
  <c r="H136" i="116" s="1"/>
  <c r="H74" i="116"/>
  <c r="I74" i="116" s="1"/>
  <c r="E128" i="116"/>
  <c r="H128" i="116" s="1"/>
  <c r="H80" i="116"/>
  <c r="I80" i="116" s="1"/>
  <c r="E134" i="116"/>
  <c r="H134" i="116" s="1"/>
  <c r="M103" i="70"/>
  <c r="N103" i="70" s="1"/>
  <c r="J156" i="70"/>
  <c r="J103" i="116"/>
  <c r="K69" i="70"/>
  <c r="J69" i="70"/>
  <c r="M69" i="70" s="1"/>
  <c r="N69" i="70" s="1"/>
  <c r="I123" i="70"/>
  <c r="E123" i="116"/>
  <c r="H123" i="116" s="1"/>
  <c r="H69" i="116"/>
  <c r="I69" i="116" s="1"/>
  <c r="H85" i="70"/>
  <c r="I68" i="70"/>
  <c r="E127" i="116"/>
  <c r="H127" i="116" s="1"/>
  <c r="H73" i="116"/>
  <c r="I73" i="116" s="1"/>
  <c r="K74" i="70"/>
  <c r="J74" i="70"/>
  <c r="M74" i="70" s="1"/>
  <c r="N74" i="70" s="1"/>
  <c r="I128" i="70"/>
  <c r="J82" i="70"/>
  <c r="M82" i="70" s="1"/>
  <c r="N82" i="70" s="1"/>
  <c r="K82" i="70"/>
  <c r="I136" i="70"/>
  <c r="K79" i="70"/>
  <c r="J79" i="70"/>
  <c r="M79" i="70" s="1"/>
  <c r="N79" i="70" s="1"/>
  <c r="I133" i="70"/>
  <c r="K78" i="70"/>
  <c r="J78" i="70"/>
  <c r="I132" i="70"/>
  <c r="H68" i="116"/>
  <c r="E85" i="116"/>
  <c r="E122" i="116"/>
  <c r="E124" i="116"/>
  <c r="H124" i="116" s="1"/>
  <c r="H70" i="116"/>
  <c r="I70" i="116" s="1"/>
  <c r="H72" i="116"/>
  <c r="I72" i="116" s="1"/>
  <c r="E126" i="116"/>
  <c r="H126" i="116" s="1"/>
  <c r="H81" i="116"/>
  <c r="I81" i="116" s="1"/>
  <c r="E135" i="116"/>
  <c r="H135" i="116" s="1"/>
  <c r="J73" i="70"/>
  <c r="K73" i="70"/>
  <c r="I127" i="70"/>
  <c r="H78" i="116"/>
  <c r="I78" i="116" s="1"/>
  <c r="E132" i="116"/>
  <c r="H132" i="116" s="1"/>
  <c r="E139" i="70"/>
  <c r="H122" i="70"/>
  <c r="H139" i="70" s="1"/>
  <c r="K70" i="70"/>
  <c r="J70" i="70"/>
  <c r="M70" i="70"/>
  <c r="N70" i="70" s="1"/>
  <c r="I124" i="70"/>
  <c r="M103" i="116" l="1"/>
  <c r="N103" i="116" s="1"/>
  <c r="M75" i="70"/>
  <c r="N75" i="70" s="1"/>
  <c r="M156" i="70"/>
  <c r="M72" i="70"/>
  <c r="N72" i="70" s="1"/>
  <c r="O72" i="70" s="1"/>
  <c r="P75" i="70"/>
  <c r="O75" i="70"/>
  <c r="R75" i="70" s="1"/>
  <c r="S75" i="70" s="1"/>
  <c r="N129" i="70"/>
  <c r="O81" i="70"/>
  <c r="R81" i="70" s="1"/>
  <c r="S81" i="70" s="1"/>
  <c r="P81" i="70"/>
  <c r="N135" i="70"/>
  <c r="N126" i="70"/>
  <c r="K82" i="116"/>
  <c r="K136" i="116" s="1"/>
  <c r="K136" i="70"/>
  <c r="P80" i="70"/>
  <c r="O80" i="70"/>
  <c r="N134" i="70"/>
  <c r="P70" i="70"/>
  <c r="O70" i="70"/>
  <c r="R70" i="70"/>
  <c r="S70" i="70" s="1"/>
  <c r="N124" i="70"/>
  <c r="O79" i="70"/>
  <c r="P79" i="70"/>
  <c r="N133" i="70"/>
  <c r="M73" i="70"/>
  <c r="N73" i="70" s="1"/>
  <c r="J127" i="70"/>
  <c r="J73" i="116"/>
  <c r="J127" i="116" s="1"/>
  <c r="J79" i="116"/>
  <c r="J133" i="116" s="1"/>
  <c r="J133" i="70"/>
  <c r="M133" i="70" s="1"/>
  <c r="O74" i="70"/>
  <c r="P74" i="70"/>
  <c r="N128" i="70"/>
  <c r="J78" i="116"/>
  <c r="J132" i="116" s="1"/>
  <c r="J132" i="70"/>
  <c r="P82" i="70"/>
  <c r="O82" i="70"/>
  <c r="R82" i="70" s="1"/>
  <c r="S82" i="70" s="1"/>
  <c r="N136" i="70"/>
  <c r="I124" i="116"/>
  <c r="K68" i="70"/>
  <c r="I85" i="70"/>
  <c r="J68" i="70"/>
  <c r="I122" i="70"/>
  <c r="K75" i="116"/>
  <c r="K129" i="116" s="1"/>
  <c r="K129" i="70"/>
  <c r="J82" i="116"/>
  <c r="J136" i="116" s="1"/>
  <c r="J136" i="70"/>
  <c r="K134" i="70"/>
  <c r="K80" i="116"/>
  <c r="K134" i="116" s="1"/>
  <c r="K73" i="116"/>
  <c r="K127" i="116" s="1"/>
  <c r="K127" i="70"/>
  <c r="P103" i="70"/>
  <c r="O103" i="70"/>
  <c r="R103" i="70" s="1"/>
  <c r="S103" i="70" s="1"/>
  <c r="N156" i="70"/>
  <c r="G17" i="58"/>
  <c r="E18" i="54"/>
  <c r="K70" i="116"/>
  <c r="K124" i="116" s="1"/>
  <c r="K124" i="70"/>
  <c r="H85" i="116"/>
  <c r="I68" i="116"/>
  <c r="K133" i="70"/>
  <c r="K79" i="116"/>
  <c r="K133" i="116" s="1"/>
  <c r="J74" i="116"/>
  <c r="J128" i="116" s="1"/>
  <c r="J128" i="70"/>
  <c r="I134" i="116"/>
  <c r="I126" i="116"/>
  <c r="P69" i="70"/>
  <c r="O69" i="70"/>
  <c r="N123" i="70"/>
  <c r="I132" i="116"/>
  <c r="I129" i="116"/>
  <c r="J80" i="116"/>
  <c r="J134" i="116" s="1"/>
  <c r="J134" i="70"/>
  <c r="I135" i="116"/>
  <c r="K128" i="70"/>
  <c r="K74" i="116"/>
  <c r="K128" i="116" s="1"/>
  <c r="J123" i="70"/>
  <c r="J69" i="116"/>
  <c r="J123" i="116" s="1"/>
  <c r="K72" i="116"/>
  <c r="K126" i="116" s="1"/>
  <c r="K126" i="70"/>
  <c r="J135" i="70"/>
  <c r="J81" i="116"/>
  <c r="J135" i="116" s="1"/>
  <c r="K132" i="70"/>
  <c r="K78" i="116"/>
  <c r="K132" i="116" s="1"/>
  <c r="I136" i="116"/>
  <c r="J75" i="116"/>
  <c r="J129" i="116" s="1"/>
  <c r="J129" i="70"/>
  <c r="E139" i="116"/>
  <c r="H122" i="116"/>
  <c r="H139" i="116" s="1"/>
  <c r="I123" i="116"/>
  <c r="J70" i="116"/>
  <c r="J124" i="116" s="1"/>
  <c r="J124" i="70"/>
  <c r="M124" i="70" s="1"/>
  <c r="M78" i="70"/>
  <c r="N78" i="70" s="1"/>
  <c r="I127" i="116"/>
  <c r="K123" i="70"/>
  <c r="K69" i="116"/>
  <c r="K123" i="116" s="1"/>
  <c r="I128" i="116"/>
  <c r="I133" i="116"/>
  <c r="J126" i="70"/>
  <c r="J72" i="116"/>
  <c r="J126" i="116" s="1"/>
  <c r="K135" i="70"/>
  <c r="K81" i="116"/>
  <c r="K135" i="116" s="1"/>
  <c r="P72" i="70" l="1"/>
  <c r="R72" i="70" s="1"/>
  <c r="S72" i="70" s="1"/>
  <c r="M126" i="70"/>
  <c r="M132" i="70"/>
  <c r="M126" i="116"/>
  <c r="R74" i="70"/>
  <c r="S74" i="70" s="1"/>
  <c r="U74" i="70" s="1"/>
  <c r="M129" i="116"/>
  <c r="M135" i="70"/>
  <c r="M127" i="70"/>
  <c r="M68" i="70"/>
  <c r="N68" i="70" s="1"/>
  <c r="M82" i="116"/>
  <c r="N82" i="116" s="1"/>
  <c r="M124" i="116"/>
  <c r="M75" i="116"/>
  <c r="N75" i="116" s="1"/>
  <c r="N129" i="116" s="1"/>
  <c r="M123" i="70"/>
  <c r="M123" i="116"/>
  <c r="M70" i="116"/>
  <c r="N70" i="116" s="1"/>
  <c r="N124" i="116" s="1"/>
  <c r="M74" i="116"/>
  <c r="N74" i="116" s="1"/>
  <c r="R79" i="70"/>
  <c r="S79" i="70" s="1"/>
  <c r="T79" i="70" s="1"/>
  <c r="S79" i="116"/>
  <c r="U79" i="70"/>
  <c r="S133" i="70"/>
  <c r="S74" i="116"/>
  <c r="T74" i="70"/>
  <c r="U82" i="70"/>
  <c r="S82" i="116"/>
  <c r="T82" i="70"/>
  <c r="S136" i="70"/>
  <c r="O69" i="116"/>
  <c r="O123" i="116" s="1"/>
  <c r="O123" i="70"/>
  <c r="T81" i="70"/>
  <c r="U81" i="70"/>
  <c r="S81" i="116"/>
  <c r="W81" i="70"/>
  <c r="D108" i="70" s="1"/>
  <c r="S135" i="70"/>
  <c r="M69" i="116"/>
  <c r="N69" i="116" s="1"/>
  <c r="P69" i="116"/>
  <c r="P123" i="116" s="1"/>
  <c r="P123" i="70"/>
  <c r="P135" i="70"/>
  <c r="P81" i="116"/>
  <c r="P135" i="116" s="1"/>
  <c r="O103" i="116"/>
  <c r="O156" i="70"/>
  <c r="R156" i="70" s="1"/>
  <c r="M73" i="116"/>
  <c r="N73" i="116" s="1"/>
  <c r="M129" i="70"/>
  <c r="M135" i="116"/>
  <c r="M132" i="116"/>
  <c r="M134" i="116"/>
  <c r="P156" i="70"/>
  <c r="P103" i="116"/>
  <c r="P73" i="70"/>
  <c r="O73" i="70"/>
  <c r="N127" i="70"/>
  <c r="P70" i="116"/>
  <c r="P124" i="116" s="1"/>
  <c r="P124" i="70"/>
  <c r="R124" i="70" s="1"/>
  <c r="T75" i="70"/>
  <c r="W75" i="70" s="1"/>
  <c r="D102" i="70" s="1"/>
  <c r="U75" i="70"/>
  <c r="S75" i="116"/>
  <c r="S129" i="70"/>
  <c r="M136" i="70"/>
  <c r="O81" i="116"/>
  <c r="O135" i="116" s="1"/>
  <c r="O135" i="70"/>
  <c r="M127" i="116"/>
  <c r="M133" i="116"/>
  <c r="P78" i="70"/>
  <c r="O78" i="70"/>
  <c r="R78" i="70" s="1"/>
  <c r="S78" i="70" s="1"/>
  <c r="N132" i="70"/>
  <c r="M81" i="116"/>
  <c r="N81" i="116" s="1"/>
  <c r="M78" i="116"/>
  <c r="N78" i="116" s="1"/>
  <c r="M80" i="116"/>
  <c r="N80" i="116" s="1"/>
  <c r="I139" i="70"/>
  <c r="P126" i="70"/>
  <c r="P72" i="116"/>
  <c r="P126" i="116" s="1"/>
  <c r="O129" i="70"/>
  <c r="O75" i="116"/>
  <c r="O129" i="116" s="1"/>
  <c r="N128" i="116"/>
  <c r="F17" i="58"/>
  <c r="P80" i="116"/>
  <c r="P134" i="116" s="1"/>
  <c r="P134" i="70"/>
  <c r="T70" i="70"/>
  <c r="U70" i="70"/>
  <c r="S70" i="116"/>
  <c r="W70" i="70"/>
  <c r="D97" i="70" s="1"/>
  <c r="S124" i="70"/>
  <c r="I85" i="116"/>
  <c r="I122" i="116"/>
  <c r="O70" i="116"/>
  <c r="O124" i="116" s="1"/>
  <c r="O124" i="70"/>
  <c r="M79" i="116"/>
  <c r="N79" i="116" s="1"/>
  <c r="M134" i="70"/>
  <c r="O82" i="116"/>
  <c r="O136" i="116" s="1"/>
  <c r="O136" i="70"/>
  <c r="R136" i="70" s="1"/>
  <c r="P74" i="116"/>
  <c r="P128" i="116" s="1"/>
  <c r="P128" i="70"/>
  <c r="R80" i="70"/>
  <c r="S80" i="70" s="1"/>
  <c r="O126" i="70"/>
  <c r="R126" i="70" s="1"/>
  <c r="O72" i="116"/>
  <c r="O126" i="116" s="1"/>
  <c r="P75" i="116"/>
  <c r="P129" i="116" s="1"/>
  <c r="P129" i="70"/>
  <c r="R82" i="116"/>
  <c r="N136" i="116"/>
  <c r="R136" i="116" s="1"/>
  <c r="O133" i="70"/>
  <c r="R133" i="70" s="1"/>
  <c r="O79" i="116"/>
  <c r="O133" i="116" s="1"/>
  <c r="K68" i="116"/>
  <c r="K85" i="70"/>
  <c r="K122" i="70"/>
  <c r="K139" i="70" s="1"/>
  <c r="U103" i="70"/>
  <c r="T103" i="70"/>
  <c r="S156" i="70"/>
  <c r="M72" i="116"/>
  <c r="N72" i="116" s="1"/>
  <c r="M128" i="116"/>
  <c r="M136" i="116"/>
  <c r="R69" i="70"/>
  <c r="S69" i="70" s="1"/>
  <c r="M128" i="70"/>
  <c r="F18" i="54"/>
  <c r="E19" i="54"/>
  <c r="J68" i="116"/>
  <c r="M68" i="116" s="1"/>
  <c r="J85" i="70"/>
  <c r="J122" i="70"/>
  <c r="J139" i="70" s="1"/>
  <c r="P136" i="70"/>
  <c r="P82" i="116"/>
  <c r="P136" i="116" s="1"/>
  <c r="O128" i="70"/>
  <c r="O74" i="116"/>
  <c r="O128" i="116" s="1"/>
  <c r="P79" i="116"/>
  <c r="P133" i="116" s="1"/>
  <c r="P133" i="70"/>
  <c r="O80" i="116"/>
  <c r="O134" i="116" s="1"/>
  <c r="O134" i="70"/>
  <c r="S72" i="116" l="1"/>
  <c r="T72" i="70"/>
  <c r="W72" i="70" s="1"/>
  <c r="D99" i="70" s="1"/>
  <c r="U72" i="70"/>
  <c r="S126" i="70"/>
  <c r="R128" i="70"/>
  <c r="R103" i="116"/>
  <c r="S103" i="116" s="1"/>
  <c r="S128" i="70"/>
  <c r="M122" i="70"/>
  <c r="R134" i="70"/>
  <c r="M85" i="70"/>
  <c r="R75" i="116"/>
  <c r="R128" i="116"/>
  <c r="R135" i="70"/>
  <c r="T74" i="116"/>
  <c r="T128" i="116" s="1"/>
  <c r="T128" i="70"/>
  <c r="S69" i="116"/>
  <c r="U69" i="70"/>
  <c r="T69" i="70"/>
  <c r="S123" i="70"/>
  <c r="S128" i="116"/>
  <c r="R80" i="116"/>
  <c r="N134" i="116"/>
  <c r="R134" i="116" s="1"/>
  <c r="E102" i="70"/>
  <c r="F102" i="70"/>
  <c r="D155" i="70"/>
  <c r="K85" i="116"/>
  <c r="K122" i="116"/>
  <c r="K139" i="116" s="1"/>
  <c r="R79" i="116"/>
  <c r="N133" i="116"/>
  <c r="R133" i="116" s="1"/>
  <c r="S124" i="116"/>
  <c r="R129" i="70"/>
  <c r="N132" i="116"/>
  <c r="R124" i="116"/>
  <c r="S129" i="116"/>
  <c r="U81" i="116"/>
  <c r="U135" i="116" s="1"/>
  <c r="U135" i="70"/>
  <c r="S136" i="116"/>
  <c r="U133" i="70"/>
  <c r="U79" i="116"/>
  <c r="U133" i="116" s="1"/>
  <c r="M85" i="116"/>
  <c r="N68" i="116"/>
  <c r="D14" i="78"/>
  <c r="R69" i="116"/>
  <c r="N123" i="116"/>
  <c r="R123" i="116" s="1"/>
  <c r="P132" i="70"/>
  <c r="R132" i="70" s="1"/>
  <c r="P78" i="116"/>
  <c r="P132" i="116" s="1"/>
  <c r="O68" i="70"/>
  <c r="R68" i="70" s="1"/>
  <c r="N85" i="70"/>
  <c r="P68" i="70"/>
  <c r="N122" i="70"/>
  <c r="R74" i="116"/>
  <c r="F97" i="70"/>
  <c r="E97" i="70"/>
  <c r="D150" i="70"/>
  <c r="W82" i="70"/>
  <c r="D109" i="70" s="1"/>
  <c r="T82" i="116"/>
  <c r="T136" i="116" s="1"/>
  <c r="T136" i="70"/>
  <c r="R72" i="116"/>
  <c r="N126" i="116"/>
  <c r="R126" i="116" s="1"/>
  <c r="U124" i="70"/>
  <c r="U70" i="116"/>
  <c r="U124" i="116" s="1"/>
  <c r="R81" i="116"/>
  <c r="N135" i="116"/>
  <c r="R135" i="116" s="1"/>
  <c r="R70" i="116"/>
  <c r="U75" i="116"/>
  <c r="U129" i="116" s="1"/>
  <c r="U129" i="70"/>
  <c r="T81" i="116"/>
  <c r="T135" i="116" s="1"/>
  <c r="T135" i="70"/>
  <c r="U82" i="116"/>
  <c r="U136" i="116" s="1"/>
  <c r="U136" i="70"/>
  <c r="S133" i="116"/>
  <c r="U103" i="116"/>
  <c r="U156" i="70"/>
  <c r="O73" i="116"/>
  <c r="O127" i="116" s="1"/>
  <c r="O127" i="70"/>
  <c r="U72" i="116"/>
  <c r="U126" i="116" s="1"/>
  <c r="U126" i="70"/>
  <c r="P73" i="116"/>
  <c r="P127" i="116" s="1"/>
  <c r="P127" i="70"/>
  <c r="W74" i="70"/>
  <c r="D101" i="70" s="1"/>
  <c r="T72" i="116"/>
  <c r="T126" i="116" s="1"/>
  <c r="T126" i="70"/>
  <c r="S126" i="116"/>
  <c r="S135" i="116"/>
  <c r="J122" i="116"/>
  <c r="J139" i="116" s="1"/>
  <c r="J85" i="116"/>
  <c r="K17" i="58" s="1"/>
  <c r="U80" i="70"/>
  <c r="S80" i="116"/>
  <c r="T80" i="70"/>
  <c r="W80" i="70" s="1"/>
  <c r="D107" i="70" s="1"/>
  <c r="S134" i="70"/>
  <c r="T70" i="116"/>
  <c r="T124" i="116" s="1"/>
  <c r="T124" i="70"/>
  <c r="W124" i="70" s="1"/>
  <c r="T75" i="116"/>
  <c r="T129" i="116" s="1"/>
  <c r="T129" i="70"/>
  <c r="R123" i="70"/>
  <c r="T79" i="116"/>
  <c r="T133" i="116" s="1"/>
  <c r="T133" i="70"/>
  <c r="S78" i="116"/>
  <c r="U78" i="70"/>
  <c r="T78" i="70"/>
  <c r="S132" i="70"/>
  <c r="M139" i="70"/>
  <c r="N127" i="116"/>
  <c r="F108" i="70"/>
  <c r="E108" i="70"/>
  <c r="D161" i="70"/>
  <c r="H15" i="54"/>
  <c r="F19" i="54"/>
  <c r="E21" i="54"/>
  <c r="W103" i="70"/>
  <c r="T156" i="70"/>
  <c r="T103" i="116"/>
  <c r="I139" i="116"/>
  <c r="R129" i="116"/>
  <c r="H17" i="58"/>
  <c r="O78" i="116"/>
  <c r="O132" i="116" s="1"/>
  <c r="O132" i="70"/>
  <c r="R73" i="70"/>
  <c r="S73" i="70" s="1"/>
  <c r="U128" i="70"/>
  <c r="U74" i="116"/>
  <c r="U128" i="116" s="1"/>
  <c r="W79" i="70"/>
  <c r="D106" i="70" s="1"/>
  <c r="E99" i="70" l="1"/>
  <c r="F99" i="70"/>
  <c r="D152" i="70"/>
  <c r="H97" i="70"/>
  <c r="I97" i="70" s="1"/>
  <c r="M97" i="70" s="1"/>
  <c r="N97" i="70" s="1"/>
  <c r="W69" i="70"/>
  <c r="D96" i="70" s="1"/>
  <c r="W103" i="116"/>
  <c r="W133" i="116"/>
  <c r="W129" i="70"/>
  <c r="W79" i="116"/>
  <c r="D106" i="116" s="1"/>
  <c r="D159" i="116" s="1"/>
  <c r="R73" i="116"/>
  <c r="W135" i="116"/>
  <c r="R132" i="116"/>
  <c r="W81" i="116"/>
  <c r="D108" i="116" s="1"/>
  <c r="R78" i="116"/>
  <c r="W128" i="70"/>
  <c r="W126" i="116"/>
  <c r="W135" i="70"/>
  <c r="S132" i="116"/>
  <c r="W136" i="116"/>
  <c r="E106" i="70"/>
  <c r="F106" i="70"/>
  <c r="D159" i="70"/>
  <c r="D161" i="116"/>
  <c r="F155" i="70"/>
  <c r="F102" i="116"/>
  <c r="F155" i="116" s="1"/>
  <c r="F99" i="116"/>
  <c r="F152" i="116" s="1"/>
  <c r="F152" i="70"/>
  <c r="H102" i="70"/>
  <c r="I102" i="70" s="1"/>
  <c r="E102" i="116"/>
  <c r="E155" i="116" s="1"/>
  <c r="E155" i="70"/>
  <c r="E152" i="70"/>
  <c r="E99" i="116"/>
  <c r="E152" i="116" s="1"/>
  <c r="T80" i="116"/>
  <c r="T134" i="116" s="1"/>
  <c r="T134" i="70"/>
  <c r="W72" i="116"/>
  <c r="D99" i="116" s="1"/>
  <c r="R127" i="70"/>
  <c r="E150" i="70"/>
  <c r="E97" i="116"/>
  <c r="E150" i="116" s="1"/>
  <c r="O85" i="70"/>
  <c r="O68" i="116"/>
  <c r="O122" i="70"/>
  <c r="O139" i="70" s="1"/>
  <c r="W70" i="116"/>
  <c r="D97" i="116" s="1"/>
  <c r="S123" i="116"/>
  <c r="R85" i="70"/>
  <c r="S68" i="70"/>
  <c r="J97" i="70"/>
  <c r="K97" i="70"/>
  <c r="W124" i="116"/>
  <c r="H108" i="70"/>
  <c r="I108" i="70" s="1"/>
  <c r="E108" i="116"/>
  <c r="E161" i="116" s="1"/>
  <c r="E161" i="70"/>
  <c r="H99" i="70"/>
  <c r="I99" i="70" s="1"/>
  <c r="W80" i="116"/>
  <c r="D107" i="116" s="1"/>
  <c r="S134" i="116"/>
  <c r="W126" i="70"/>
  <c r="F97" i="116"/>
  <c r="F150" i="116" s="1"/>
  <c r="F150" i="70"/>
  <c r="N85" i="116"/>
  <c r="N122" i="116"/>
  <c r="W129" i="116"/>
  <c r="U132" i="70"/>
  <c r="U78" i="116"/>
  <c r="U132" i="116" s="1"/>
  <c r="N139" i="70"/>
  <c r="H16" i="54"/>
  <c r="I16" i="54" s="1"/>
  <c r="I15" i="54"/>
  <c r="F96" i="70"/>
  <c r="E96" i="70"/>
  <c r="D149" i="70"/>
  <c r="W133" i="70"/>
  <c r="T123" i="70"/>
  <c r="T69" i="116"/>
  <c r="T123" i="116" s="1"/>
  <c r="E107" i="70"/>
  <c r="F107" i="70"/>
  <c r="D160" i="70"/>
  <c r="U69" i="116"/>
  <c r="U123" i="116" s="1"/>
  <c r="U123" i="70"/>
  <c r="U73" i="70"/>
  <c r="S73" i="116"/>
  <c r="T73" i="70"/>
  <c r="W73" i="70" s="1"/>
  <c r="D100" i="70" s="1"/>
  <c r="S127" i="70"/>
  <c r="F108" i="116"/>
  <c r="F161" i="116" s="1"/>
  <c r="F161" i="70"/>
  <c r="U80" i="116"/>
  <c r="U134" i="116" s="1"/>
  <c r="U134" i="70"/>
  <c r="W156" i="70"/>
  <c r="W75" i="116"/>
  <c r="D102" i="116" s="1"/>
  <c r="W128" i="116"/>
  <c r="E109" i="70"/>
  <c r="F109" i="70"/>
  <c r="D162" i="70"/>
  <c r="M122" i="116"/>
  <c r="M139" i="116" s="1"/>
  <c r="P68" i="116"/>
  <c r="P85" i="70"/>
  <c r="P122" i="70"/>
  <c r="P139" i="70" s="1"/>
  <c r="W82" i="116"/>
  <c r="D109" i="116" s="1"/>
  <c r="F21" i="54"/>
  <c r="E23" i="54"/>
  <c r="R127" i="116"/>
  <c r="W78" i="70"/>
  <c r="D105" i="70" s="1"/>
  <c r="T78" i="116"/>
  <c r="T132" i="116" s="1"/>
  <c r="T132" i="70"/>
  <c r="J17" i="58"/>
  <c r="D41" i="78" s="1"/>
  <c r="F101" i="70"/>
  <c r="E101" i="70"/>
  <c r="D154" i="70"/>
  <c r="W136" i="70"/>
  <c r="W74" i="116"/>
  <c r="D101" i="116" s="1"/>
  <c r="H107" i="70" l="1"/>
  <c r="I107" i="70" s="1"/>
  <c r="I150" i="70"/>
  <c r="W123" i="70"/>
  <c r="W134" i="116"/>
  <c r="H161" i="70"/>
  <c r="H150" i="70"/>
  <c r="H152" i="70"/>
  <c r="W134" i="70"/>
  <c r="K107" i="70"/>
  <c r="J107" i="70"/>
  <c r="I160" i="70"/>
  <c r="F154" i="70"/>
  <c r="H154" i="70" s="1"/>
  <c r="F101" i="116"/>
  <c r="F154" i="116" s="1"/>
  <c r="H102" i="116"/>
  <c r="I102" i="116" s="1"/>
  <c r="D155" i="116"/>
  <c r="H155" i="116" s="1"/>
  <c r="I155" i="116" s="1"/>
  <c r="M155" i="116" s="1"/>
  <c r="N155" i="116" s="1"/>
  <c r="R155" i="116" s="1"/>
  <c r="S155" i="116" s="1"/>
  <c r="W155" i="116" s="1"/>
  <c r="E100" i="70"/>
  <c r="F100" i="70"/>
  <c r="D153" i="70"/>
  <c r="H106" i="70"/>
  <c r="I106" i="70" s="1"/>
  <c r="E106" i="116"/>
  <c r="E159" i="70"/>
  <c r="N139" i="116"/>
  <c r="O85" i="116"/>
  <c r="Q17" i="58" s="1"/>
  <c r="O122" i="116"/>
  <c r="O139" i="116" s="1"/>
  <c r="R68" i="116"/>
  <c r="R85" i="116" s="1"/>
  <c r="F109" i="116"/>
  <c r="F162" i="116" s="1"/>
  <c r="F162" i="70"/>
  <c r="H18" i="54"/>
  <c r="S127" i="116"/>
  <c r="P97" i="70"/>
  <c r="O97" i="70"/>
  <c r="R97" i="70" s="1"/>
  <c r="S97" i="70" s="1"/>
  <c r="N150" i="70"/>
  <c r="U127" i="70"/>
  <c r="U73" i="116"/>
  <c r="U127" i="116" s="1"/>
  <c r="J99" i="70"/>
  <c r="K99" i="70"/>
  <c r="I152" i="70"/>
  <c r="L17" i="58"/>
  <c r="D162" i="116"/>
  <c r="H109" i="70"/>
  <c r="I109" i="70" s="1"/>
  <c r="E96" i="116"/>
  <c r="E149" i="116" s="1"/>
  <c r="E149" i="70"/>
  <c r="R122" i="70"/>
  <c r="R139" i="70" s="1"/>
  <c r="J108" i="70"/>
  <c r="K108" i="70"/>
  <c r="I161" i="70"/>
  <c r="W123" i="116"/>
  <c r="H155" i="70"/>
  <c r="H161" i="116"/>
  <c r="I161" i="116" s="1"/>
  <c r="M161" i="116" s="1"/>
  <c r="N161" i="116" s="1"/>
  <c r="R161" i="116" s="1"/>
  <c r="S161" i="116" s="1"/>
  <c r="W161" i="116" s="1"/>
  <c r="W132" i="116"/>
  <c r="P122" i="116"/>
  <c r="P139" i="116" s="1"/>
  <c r="P85" i="116"/>
  <c r="E105" i="70"/>
  <c r="F105" i="70"/>
  <c r="D158" i="70"/>
  <c r="K97" i="116"/>
  <c r="K150" i="70"/>
  <c r="D154" i="116"/>
  <c r="S68" i="116"/>
  <c r="T68" i="70"/>
  <c r="S85" i="70"/>
  <c r="U68" i="70"/>
  <c r="W68" i="70"/>
  <c r="S122" i="70"/>
  <c r="H101" i="70"/>
  <c r="I101" i="70" s="1"/>
  <c r="E162" i="70"/>
  <c r="E109" i="116"/>
  <c r="E162" i="116" s="1"/>
  <c r="F149" i="70"/>
  <c r="F96" i="116"/>
  <c r="F149" i="116" s="1"/>
  <c r="W69" i="116"/>
  <c r="D96" i="116" s="1"/>
  <c r="H108" i="116"/>
  <c r="I108" i="116" s="1"/>
  <c r="W78" i="116"/>
  <c r="D105" i="116" s="1"/>
  <c r="E160" i="70"/>
  <c r="E107" i="116"/>
  <c r="E160" i="116" s="1"/>
  <c r="F159" i="70"/>
  <c r="F106" i="116"/>
  <c r="F159" i="116" s="1"/>
  <c r="D160" i="116"/>
  <c r="H107" i="116"/>
  <c r="I107" i="116" s="1"/>
  <c r="J97" i="116"/>
  <c r="J150" i="70"/>
  <c r="M150" i="70" s="1"/>
  <c r="E25" i="54"/>
  <c r="G19" i="58" s="1"/>
  <c r="F23" i="54"/>
  <c r="F25" i="54" s="1"/>
  <c r="E154" i="70"/>
  <c r="E101" i="116"/>
  <c r="E154" i="116" s="1"/>
  <c r="W132" i="70"/>
  <c r="T127" i="70"/>
  <c r="T73" i="116"/>
  <c r="T127" i="116" s="1"/>
  <c r="F160" i="70"/>
  <c r="F107" i="116"/>
  <c r="F160" i="116" s="1"/>
  <c r="H96" i="70"/>
  <c r="I96" i="70" s="1"/>
  <c r="H97" i="116"/>
  <c r="I97" i="116" s="1"/>
  <c r="D150" i="116"/>
  <c r="H150" i="116" s="1"/>
  <c r="I150" i="116" s="1"/>
  <c r="M150" i="116" s="1"/>
  <c r="N150" i="116" s="1"/>
  <c r="R150" i="116" s="1"/>
  <c r="S150" i="116" s="1"/>
  <c r="W150" i="116" s="1"/>
  <c r="H99" i="116"/>
  <c r="I99" i="116" s="1"/>
  <c r="D152" i="116"/>
  <c r="H152" i="116" s="1"/>
  <c r="I152" i="116" s="1"/>
  <c r="M152" i="116" s="1"/>
  <c r="N152" i="116" s="1"/>
  <c r="R152" i="116" s="1"/>
  <c r="S152" i="116" s="1"/>
  <c r="W152" i="116" s="1"/>
  <c r="K102" i="70"/>
  <c r="J102" i="70"/>
  <c r="I155" i="70"/>
  <c r="M97" i="116" l="1"/>
  <c r="N97" i="116" s="1"/>
  <c r="H105" i="70"/>
  <c r="I105" i="70" s="1"/>
  <c r="J105" i="70" s="1"/>
  <c r="R122" i="116"/>
  <c r="R139" i="116" s="1"/>
  <c r="H162" i="70"/>
  <c r="H154" i="116"/>
  <c r="I154" i="116" s="1"/>
  <c r="M154" i="116" s="1"/>
  <c r="N154" i="116" s="1"/>
  <c r="R154" i="116" s="1"/>
  <c r="S154" i="116" s="1"/>
  <c r="W154" i="116" s="1"/>
  <c r="W127" i="70"/>
  <c r="H160" i="70"/>
  <c r="H101" i="116"/>
  <c r="I101" i="116" s="1"/>
  <c r="H149" i="70"/>
  <c r="H159" i="70"/>
  <c r="I158" i="70"/>
  <c r="J155" i="70"/>
  <c r="M155" i="70" s="1"/>
  <c r="J102" i="116"/>
  <c r="M102" i="116" s="1"/>
  <c r="N102" i="116" s="1"/>
  <c r="M108" i="70"/>
  <c r="N108" i="70" s="1"/>
  <c r="J108" i="116"/>
  <c r="J161" i="70"/>
  <c r="K155" i="70"/>
  <c r="K102" i="116"/>
  <c r="S139" i="70"/>
  <c r="K152" i="70"/>
  <c r="K99" i="116"/>
  <c r="E159" i="116"/>
  <c r="H159" i="116" s="1"/>
  <c r="I159" i="116" s="1"/>
  <c r="M159" i="116" s="1"/>
  <c r="N159" i="116" s="1"/>
  <c r="R159" i="116" s="1"/>
  <c r="S159" i="116" s="1"/>
  <c r="W159" i="116" s="1"/>
  <c r="H106" i="116"/>
  <c r="I106" i="116" s="1"/>
  <c r="U122" i="70"/>
  <c r="U139" i="70" s="1"/>
  <c r="U85" i="70"/>
  <c r="U68" i="116"/>
  <c r="J99" i="116"/>
  <c r="J152" i="70"/>
  <c r="M152" i="70" s="1"/>
  <c r="O97" i="116"/>
  <c r="R97" i="116" s="1"/>
  <c r="S97" i="116" s="1"/>
  <c r="O150" i="70"/>
  <c r="K106" i="70"/>
  <c r="J106" i="70"/>
  <c r="M106" i="70" s="1"/>
  <c r="N106" i="70" s="1"/>
  <c r="I159" i="70"/>
  <c r="J101" i="70"/>
  <c r="K101" i="70"/>
  <c r="I154" i="70"/>
  <c r="J109" i="70"/>
  <c r="M109" i="70" s="1"/>
  <c r="N109" i="70" s="1"/>
  <c r="K109" i="70"/>
  <c r="I162" i="70"/>
  <c r="M99" i="70"/>
  <c r="N99" i="70" s="1"/>
  <c r="P97" i="116"/>
  <c r="P150" i="70"/>
  <c r="F19" i="58"/>
  <c r="H19" i="58" s="1"/>
  <c r="E153" i="70"/>
  <c r="E100" i="116"/>
  <c r="E153" i="116" s="1"/>
  <c r="D158" i="116"/>
  <c r="H96" i="116"/>
  <c r="I96" i="116" s="1"/>
  <c r="D149" i="116"/>
  <c r="H149" i="116"/>
  <c r="I149" i="116" s="1"/>
  <c r="M149" i="116" s="1"/>
  <c r="N149" i="116" s="1"/>
  <c r="R149" i="116" s="1"/>
  <c r="S149" i="116" s="1"/>
  <c r="W149" i="116" s="1"/>
  <c r="U97" i="70"/>
  <c r="T97" i="70"/>
  <c r="S150" i="70"/>
  <c r="T68" i="116"/>
  <c r="T85" i="70"/>
  <c r="T122" i="70"/>
  <c r="T139" i="70" s="1"/>
  <c r="F158" i="70"/>
  <c r="F105" i="116"/>
  <c r="F158" i="116" s="1"/>
  <c r="H162" i="116"/>
  <c r="I162" i="116" s="1"/>
  <c r="M162" i="116" s="1"/>
  <c r="N162" i="116" s="1"/>
  <c r="R162" i="116" s="1"/>
  <c r="S162" i="116" s="1"/>
  <c r="W162" i="116" s="1"/>
  <c r="W127" i="116"/>
  <c r="F100" i="116"/>
  <c r="F153" i="116" s="1"/>
  <c r="F153" i="70"/>
  <c r="M107" i="70"/>
  <c r="N107" i="70" s="1"/>
  <c r="J160" i="70"/>
  <c r="J107" i="116"/>
  <c r="I18" i="54"/>
  <c r="H19" i="54"/>
  <c r="D95" i="70"/>
  <c r="W85" i="70"/>
  <c r="J96" i="70"/>
  <c r="M96" i="70" s="1"/>
  <c r="N96" i="70" s="1"/>
  <c r="K96" i="70"/>
  <c r="I149" i="70"/>
  <c r="M102" i="70"/>
  <c r="N102" i="70" s="1"/>
  <c r="H160" i="116"/>
  <c r="I160" i="116" s="1"/>
  <c r="M160" i="116" s="1"/>
  <c r="N160" i="116" s="1"/>
  <c r="R160" i="116" s="1"/>
  <c r="S160" i="116" s="1"/>
  <c r="W160" i="116" s="1"/>
  <c r="S85" i="116"/>
  <c r="S122" i="116"/>
  <c r="E158" i="70"/>
  <c r="E105" i="116"/>
  <c r="E158" i="116" s="1"/>
  <c r="K161" i="70"/>
  <c r="K108" i="116"/>
  <c r="H109" i="116"/>
  <c r="I109" i="116" s="1"/>
  <c r="W73" i="116"/>
  <c r="D100" i="116" s="1"/>
  <c r="P17" i="58"/>
  <c r="N17" i="58"/>
  <c r="R17" i="58" s="1"/>
  <c r="O17" i="58"/>
  <c r="H100" i="70"/>
  <c r="I100" i="70" s="1"/>
  <c r="K160" i="70"/>
  <c r="K107" i="116"/>
  <c r="K105" i="70" l="1"/>
  <c r="M161" i="70"/>
  <c r="M108" i="116"/>
  <c r="N108" i="116" s="1"/>
  <c r="M99" i="116"/>
  <c r="N99" i="116" s="1"/>
  <c r="W122" i="70"/>
  <c r="W139" i="70" s="1"/>
  <c r="M107" i="116"/>
  <c r="N107" i="116" s="1"/>
  <c r="M160" i="70"/>
  <c r="H158" i="70"/>
  <c r="H153" i="70"/>
  <c r="O99" i="70"/>
  <c r="R99" i="70" s="1"/>
  <c r="S99" i="70" s="1"/>
  <c r="P99" i="70"/>
  <c r="N152" i="70"/>
  <c r="J154" i="70"/>
  <c r="J101" i="116"/>
  <c r="O108" i="70"/>
  <c r="P108" i="70"/>
  <c r="N161" i="70"/>
  <c r="P107" i="70"/>
  <c r="O107" i="70"/>
  <c r="R107" i="70"/>
  <c r="S107" i="70" s="1"/>
  <c r="N160" i="70"/>
  <c r="O106" i="70"/>
  <c r="P106" i="70"/>
  <c r="N159" i="70"/>
  <c r="J109" i="116"/>
  <c r="J162" i="70"/>
  <c r="J106" i="116"/>
  <c r="J159" i="70"/>
  <c r="M159" i="70" s="1"/>
  <c r="P96" i="70"/>
  <c r="O96" i="70"/>
  <c r="R96" i="70" s="1"/>
  <c r="S96" i="70" s="1"/>
  <c r="N149" i="70"/>
  <c r="K149" i="70"/>
  <c r="K96" i="116"/>
  <c r="D112" i="70"/>
  <c r="E95" i="70"/>
  <c r="F95" i="70"/>
  <c r="H95" i="70" s="1"/>
  <c r="D148" i="70"/>
  <c r="W68" i="116"/>
  <c r="T85" i="116"/>
  <c r="S17" i="58" s="1"/>
  <c r="T122" i="116"/>
  <c r="T139" i="116" s="1"/>
  <c r="K106" i="116"/>
  <c r="K159" i="70"/>
  <c r="M106" i="116"/>
  <c r="N106" i="116" s="1"/>
  <c r="K105" i="116"/>
  <c r="K158" i="70"/>
  <c r="U97" i="116"/>
  <c r="U150" i="70"/>
  <c r="J149" i="70"/>
  <c r="J96" i="116"/>
  <c r="M96" i="116" s="1"/>
  <c r="N96" i="116" s="1"/>
  <c r="S139" i="116"/>
  <c r="K109" i="116"/>
  <c r="K162" i="70"/>
  <c r="M162" i="70" s="1"/>
  <c r="H100" i="116"/>
  <c r="I100" i="116" s="1"/>
  <c r="D153" i="116"/>
  <c r="H153" i="116" s="1"/>
  <c r="I153" i="116" s="1"/>
  <c r="M153" i="116" s="1"/>
  <c r="N153" i="116" s="1"/>
  <c r="R153" i="116" s="1"/>
  <c r="S153" i="116" s="1"/>
  <c r="W153" i="116" s="1"/>
  <c r="J100" i="70"/>
  <c r="K100" i="70"/>
  <c r="I153" i="70"/>
  <c r="O102" i="70"/>
  <c r="P102" i="70"/>
  <c r="N155" i="70"/>
  <c r="H158" i="116"/>
  <c r="I158" i="116" s="1"/>
  <c r="M158" i="116" s="1"/>
  <c r="N158" i="116" s="1"/>
  <c r="R158" i="116" s="1"/>
  <c r="S158" i="116" s="1"/>
  <c r="W158" i="116" s="1"/>
  <c r="R150" i="70"/>
  <c r="M105" i="70"/>
  <c r="N105" i="70" s="1"/>
  <c r="T97" i="116"/>
  <c r="T150" i="70"/>
  <c r="K154" i="70"/>
  <c r="K101" i="116"/>
  <c r="O109" i="70"/>
  <c r="P109" i="70"/>
  <c r="N162" i="70"/>
  <c r="U122" i="116"/>
  <c r="U139" i="116" s="1"/>
  <c r="U85" i="116"/>
  <c r="K15" i="54"/>
  <c r="I19" i="54"/>
  <c r="H21" i="54"/>
  <c r="W97" i="70"/>
  <c r="H105" i="116"/>
  <c r="I105" i="116" s="1"/>
  <c r="M101" i="70"/>
  <c r="N101" i="70" s="1"/>
  <c r="J158" i="70"/>
  <c r="J105" i="116"/>
  <c r="R108" i="70" l="1"/>
  <c r="S108" i="70" s="1"/>
  <c r="T108" i="70" s="1"/>
  <c r="W108" i="70" s="1"/>
  <c r="W97" i="116"/>
  <c r="R106" i="70"/>
  <c r="S106" i="70" s="1"/>
  <c r="M101" i="116"/>
  <c r="N101" i="116" s="1"/>
  <c r="M154" i="70"/>
  <c r="M109" i="116"/>
  <c r="N109" i="116" s="1"/>
  <c r="T106" i="70"/>
  <c r="W106" i="70" s="1"/>
  <c r="U106" i="70"/>
  <c r="S159" i="70"/>
  <c r="U108" i="70"/>
  <c r="S161" i="70"/>
  <c r="O107" i="116"/>
  <c r="O160" i="70"/>
  <c r="R160" i="70" s="1"/>
  <c r="O149" i="70"/>
  <c r="O96" i="116"/>
  <c r="K16" i="54"/>
  <c r="L16" i="54" s="1"/>
  <c r="L15" i="54"/>
  <c r="K18" i="54"/>
  <c r="L18" i="54" s="1"/>
  <c r="R109" i="70"/>
  <c r="S109" i="70" s="1"/>
  <c r="O109" i="116"/>
  <c r="O162" i="70"/>
  <c r="K153" i="70"/>
  <c r="K100" i="116"/>
  <c r="F95" i="116"/>
  <c r="F112" i="70"/>
  <c r="F148" i="70"/>
  <c r="F165" i="70" s="1"/>
  <c r="P149" i="70"/>
  <c r="P96" i="116"/>
  <c r="P152" i="70"/>
  <c r="P99" i="116"/>
  <c r="P102" i="116"/>
  <c r="P155" i="70"/>
  <c r="D165" i="70"/>
  <c r="P160" i="70"/>
  <c r="P107" i="116"/>
  <c r="P105" i="70"/>
  <c r="O105" i="70"/>
  <c r="N158" i="70"/>
  <c r="I95" i="70"/>
  <c r="H112" i="70"/>
  <c r="M105" i="116"/>
  <c r="N105" i="116" s="1"/>
  <c r="M100" i="70"/>
  <c r="N100" i="70" s="1"/>
  <c r="J100" i="116"/>
  <c r="J153" i="70"/>
  <c r="M149" i="70"/>
  <c r="E95" i="116"/>
  <c r="E112" i="70"/>
  <c r="E148" i="70"/>
  <c r="E165" i="70" s="1"/>
  <c r="P159" i="70"/>
  <c r="P106" i="116"/>
  <c r="P108" i="116"/>
  <c r="P161" i="70"/>
  <c r="O99" i="116"/>
  <c r="O152" i="70"/>
  <c r="U107" i="70"/>
  <c r="T107" i="70"/>
  <c r="S160" i="70"/>
  <c r="I21" i="54"/>
  <c r="H23" i="54"/>
  <c r="U96" i="70"/>
  <c r="T96" i="70"/>
  <c r="W96" i="70" s="1"/>
  <c r="S149" i="70"/>
  <c r="P109" i="116"/>
  <c r="P162" i="70"/>
  <c r="M158" i="70"/>
  <c r="O159" i="70"/>
  <c r="O106" i="116"/>
  <c r="R102" i="70"/>
  <c r="S102" i="70" s="1"/>
  <c r="O155" i="70"/>
  <c r="R155" i="70" s="1"/>
  <c r="O102" i="116"/>
  <c r="W85" i="116"/>
  <c r="D95" i="116"/>
  <c r="W122" i="116"/>
  <c r="W139" i="116" s="1"/>
  <c r="T99" i="70"/>
  <c r="U99" i="70"/>
  <c r="W99" i="70"/>
  <c r="S152" i="70"/>
  <c r="O101" i="70"/>
  <c r="P101" i="70"/>
  <c r="N154" i="70"/>
  <c r="W150" i="70"/>
  <c r="O161" i="70"/>
  <c r="O108" i="116"/>
  <c r="W107" i="70" l="1"/>
  <c r="R96" i="116"/>
  <c r="S96" i="116" s="1"/>
  <c r="R149" i="70"/>
  <c r="M153" i="70"/>
  <c r="M100" i="116"/>
  <c r="N100" i="116" s="1"/>
  <c r="R159" i="70"/>
  <c r="F148" i="116"/>
  <c r="F165" i="116" s="1"/>
  <c r="F112" i="116"/>
  <c r="D112" i="116"/>
  <c r="H95" i="116"/>
  <c r="D148" i="116"/>
  <c r="P100" i="70"/>
  <c r="O100" i="70"/>
  <c r="R100" i="70"/>
  <c r="S100" i="70" s="1"/>
  <c r="N153" i="70"/>
  <c r="U108" i="116"/>
  <c r="U161" i="70"/>
  <c r="R108" i="116"/>
  <c r="S108" i="116" s="1"/>
  <c r="T160" i="70"/>
  <c r="T107" i="116"/>
  <c r="R109" i="116"/>
  <c r="S109" i="116" s="1"/>
  <c r="P101" i="116"/>
  <c r="P154" i="70"/>
  <c r="R102" i="116"/>
  <c r="S102" i="116" s="1"/>
  <c r="T108" i="116"/>
  <c r="T161" i="70"/>
  <c r="R161" i="70"/>
  <c r="U102" i="70"/>
  <c r="T102" i="70"/>
  <c r="S155" i="70"/>
  <c r="U160" i="70"/>
  <c r="U107" i="116"/>
  <c r="H148" i="70"/>
  <c r="H165" i="70" s="1"/>
  <c r="U109" i="70"/>
  <c r="T109" i="70"/>
  <c r="S162" i="70"/>
  <c r="R162" i="70"/>
  <c r="T149" i="70"/>
  <c r="W149" i="70" s="1"/>
  <c r="T96" i="116"/>
  <c r="W96" i="116" s="1"/>
  <c r="U152" i="70"/>
  <c r="U99" i="116"/>
  <c r="R106" i="116"/>
  <c r="S106" i="116" s="1"/>
  <c r="U149" i="70"/>
  <c r="U96" i="116"/>
  <c r="R152" i="70"/>
  <c r="E112" i="116"/>
  <c r="T17" i="58" s="1"/>
  <c r="E148" i="116"/>
  <c r="E165" i="116" s="1"/>
  <c r="J95" i="70"/>
  <c r="K95" i="70"/>
  <c r="I112" i="70"/>
  <c r="I148" i="70"/>
  <c r="U106" i="116"/>
  <c r="U159" i="70"/>
  <c r="O105" i="116"/>
  <c r="O158" i="70"/>
  <c r="P158" i="70"/>
  <c r="P105" i="116"/>
  <c r="R105" i="70"/>
  <c r="S105" i="70" s="1"/>
  <c r="R101" i="70"/>
  <c r="S101" i="70" s="1"/>
  <c r="O101" i="116"/>
  <c r="O154" i="70"/>
  <c r="T99" i="116"/>
  <c r="T152" i="70"/>
  <c r="W152" i="70" s="1"/>
  <c r="H25" i="54"/>
  <c r="K19" i="58" s="1"/>
  <c r="I23" i="54"/>
  <c r="I25" i="54" s="1"/>
  <c r="R99" i="116"/>
  <c r="S99" i="116" s="1"/>
  <c r="K19" i="54"/>
  <c r="R107" i="116"/>
  <c r="S107" i="116" s="1"/>
  <c r="T106" i="116"/>
  <c r="T159" i="70"/>
  <c r="W159" i="70" s="1"/>
  <c r="W106" i="116" l="1"/>
  <c r="R105" i="116"/>
  <c r="S105" i="116" s="1"/>
  <c r="R101" i="116"/>
  <c r="S101" i="116" s="1"/>
  <c r="R158" i="70"/>
  <c r="R154" i="70"/>
  <c r="W160" i="70"/>
  <c r="W107" i="116"/>
  <c r="W108" i="116"/>
  <c r="I95" i="116"/>
  <c r="H112" i="116"/>
  <c r="J19" i="58"/>
  <c r="L19" i="58" s="1"/>
  <c r="J112" i="70"/>
  <c r="J148" i="70"/>
  <c r="J165" i="70" s="1"/>
  <c r="J95" i="116"/>
  <c r="J112" i="116" s="1"/>
  <c r="U17" i="58" s="1"/>
  <c r="W161" i="70"/>
  <c r="U100" i="70"/>
  <c r="T100" i="70"/>
  <c r="S153" i="70"/>
  <c r="K112" i="70"/>
  <c r="K95" i="116"/>
  <c r="K112" i="116" s="1"/>
  <c r="K148" i="70"/>
  <c r="K165" i="70" s="1"/>
  <c r="U162" i="70"/>
  <c r="U109" i="116"/>
  <c r="W99" i="116"/>
  <c r="P153" i="70"/>
  <c r="P100" i="116"/>
  <c r="M15" i="54"/>
  <c r="L19" i="54"/>
  <c r="K21" i="54"/>
  <c r="U101" i="70"/>
  <c r="T101" i="70"/>
  <c r="W101" i="70" s="1"/>
  <c r="S154" i="70"/>
  <c r="I165" i="70"/>
  <c r="W102" i="70"/>
  <c r="T102" i="116"/>
  <c r="T155" i="70"/>
  <c r="T162" i="70"/>
  <c r="T109" i="116"/>
  <c r="O100" i="116"/>
  <c r="O153" i="70"/>
  <c r="R153" i="70" s="1"/>
  <c r="D165" i="116"/>
  <c r="H148" i="116"/>
  <c r="T105" i="70"/>
  <c r="U105" i="70"/>
  <c r="W105" i="70"/>
  <c r="S158" i="70"/>
  <c r="M95" i="70"/>
  <c r="W109" i="70"/>
  <c r="U155" i="70"/>
  <c r="U102" i="116"/>
  <c r="W109" i="116" l="1"/>
  <c r="W155" i="70"/>
  <c r="W102" i="116"/>
  <c r="W100" i="70"/>
  <c r="W162" i="70"/>
  <c r="U100" i="116"/>
  <c r="U153" i="70"/>
  <c r="U101" i="116"/>
  <c r="U154" i="70"/>
  <c r="M95" i="116"/>
  <c r="I112" i="116"/>
  <c r="T154" i="70"/>
  <c r="W154" i="70" s="1"/>
  <c r="T101" i="116"/>
  <c r="T158" i="70"/>
  <c r="T105" i="116"/>
  <c r="R100" i="116"/>
  <c r="S100" i="116" s="1"/>
  <c r="W100" i="116" s="1"/>
  <c r="U158" i="70"/>
  <c r="U105" i="116"/>
  <c r="N95" i="70"/>
  <c r="M112" i="70"/>
  <c r="T153" i="70"/>
  <c r="T100" i="116"/>
  <c r="L21" i="54"/>
  <c r="K23" i="54"/>
  <c r="I148" i="116"/>
  <c r="H165" i="116"/>
  <c r="M148" i="70"/>
  <c r="M165" i="70" s="1"/>
  <c r="M16" i="54"/>
  <c r="M18" i="54" s="1"/>
  <c r="M19" i="54" s="1"/>
  <c r="N15" i="54" s="1"/>
  <c r="W153" i="70" l="1"/>
  <c r="N16" i="54"/>
  <c r="N18" i="54" s="1"/>
  <c r="N19" i="54" s="1"/>
  <c r="I165" i="116"/>
  <c r="M148" i="116"/>
  <c r="K25" i="54"/>
  <c r="O19" i="58" s="1"/>
  <c r="P19" i="58" s="1"/>
  <c r="Q19" i="58" s="1"/>
  <c r="N19" i="58" s="1"/>
  <c r="R19" i="58" s="1"/>
  <c r="L23" i="54"/>
  <c r="L25" i="54" s="1"/>
  <c r="N95" i="116"/>
  <c r="M112" i="116"/>
  <c r="W158" i="70"/>
  <c r="O95" i="70"/>
  <c r="P95" i="70"/>
  <c r="N112" i="70"/>
  <c r="N148" i="70"/>
  <c r="W105" i="116"/>
  <c r="M21" i="54"/>
  <c r="M23" i="54" s="1"/>
  <c r="W101" i="116"/>
  <c r="O15" i="54" l="1"/>
  <c r="N21" i="54"/>
  <c r="N23" i="54" s="1"/>
  <c r="N25" i="54" s="1"/>
  <c r="T19" i="58" s="1"/>
  <c r="R95" i="70"/>
  <c r="S95" i="70" s="1"/>
  <c r="P112" i="70"/>
  <c r="P148" i="70"/>
  <c r="P165" i="70" s="1"/>
  <c r="P95" i="116"/>
  <c r="P112" i="116" s="1"/>
  <c r="N148" i="116"/>
  <c r="M165" i="116"/>
  <c r="O112" i="70"/>
  <c r="O95" i="116"/>
  <c r="O112" i="116" s="1"/>
  <c r="V17" i="58" s="1"/>
  <c r="O148" i="70"/>
  <c r="O165" i="70" s="1"/>
  <c r="M25" i="54"/>
  <c r="S19" i="58" s="1"/>
  <c r="O16" i="54"/>
  <c r="O18" i="54" s="1"/>
  <c r="O19" i="54" s="1"/>
  <c r="P15" i="54" s="1"/>
  <c r="N165" i="70"/>
  <c r="R112" i="70"/>
  <c r="N112" i="116"/>
  <c r="R95" i="116" l="1"/>
  <c r="T95" i="70"/>
  <c r="W95" i="70" s="1"/>
  <c r="W112" i="70" s="1"/>
  <c r="S112" i="70"/>
  <c r="U95" i="70"/>
  <c r="S148" i="70"/>
  <c r="R148" i="116"/>
  <c r="N165" i="116"/>
  <c r="O21" i="54"/>
  <c r="O23" i="54" s="1"/>
  <c r="S95" i="116"/>
  <c r="R112" i="116"/>
  <c r="P16" i="54"/>
  <c r="P18" i="54"/>
  <c r="P19" i="54" s="1"/>
  <c r="Q15" i="54" s="1"/>
  <c r="R148" i="70"/>
  <c r="R165" i="70" s="1"/>
  <c r="P21" i="54" l="1"/>
  <c r="P23" i="54" s="1"/>
  <c r="O25" i="54"/>
  <c r="U19" i="58" s="1"/>
  <c r="P25" i="54"/>
  <c r="V19" i="58" s="1"/>
  <c r="S148" i="116"/>
  <c r="R165" i="116"/>
  <c r="S165" i="70"/>
  <c r="Q16" i="54"/>
  <c r="Q18" i="54" s="1"/>
  <c r="Q19" i="54" s="1"/>
  <c r="Q21" i="54" s="1"/>
  <c r="Q23" i="54" s="1"/>
  <c r="U148" i="70"/>
  <c r="U165" i="70" s="1"/>
  <c r="U112" i="70"/>
  <c r="U95" i="116"/>
  <c r="U112" i="116" s="1"/>
  <c r="S112" i="116"/>
  <c r="T95" i="116"/>
  <c r="T112" i="116" s="1"/>
  <c r="W17" i="58" s="1"/>
  <c r="T148" i="70"/>
  <c r="T165" i="70" s="1"/>
  <c r="T112" i="70"/>
  <c r="W148" i="70" l="1"/>
  <c r="W165" i="70" s="1"/>
  <c r="Q25" i="54"/>
  <c r="W19" i="58" s="1"/>
  <c r="W148" i="116"/>
  <c r="W165" i="116" s="1"/>
  <c r="S165" i="116"/>
  <c r="W95" i="116"/>
  <c r="W112" i="116" s="1"/>
  <c r="E17" i="65" l="1"/>
  <c r="E13" i="58" s="1"/>
  <c r="F18" i="58" l="1"/>
  <c r="E14" i="78"/>
  <c r="F27" i="75"/>
  <c r="E29" i="58"/>
  <c r="E23" i="58"/>
  <c r="F27" i="77"/>
  <c r="F14" i="78" l="1"/>
  <c r="L14" i="78"/>
  <c r="G14" i="78"/>
  <c r="H18" i="58"/>
  <c r="F28" i="58" l="1"/>
  <c r="D22" i="78" s="1"/>
  <c r="E22" i="78"/>
  <c r="L22" i="78" l="1"/>
  <c r="F22" i="78"/>
  <c r="G22" i="78"/>
  <c r="F20" i="58" l="1"/>
  <c r="E15" i="78"/>
  <c r="L15" i="78" l="1"/>
  <c r="D15" i="78"/>
  <c r="G15" i="78" l="1"/>
  <c r="F15" i="78"/>
  <c r="J18" i="58" l="1"/>
  <c r="L18" i="58" s="1"/>
  <c r="E41" i="78"/>
  <c r="J28" i="58" l="1"/>
  <c r="D49" i="78" s="1"/>
  <c r="E49" i="78"/>
  <c r="G41" i="78"/>
  <c r="L41" i="78"/>
  <c r="F41" i="78"/>
  <c r="L49" i="78" l="1"/>
  <c r="F49" i="78"/>
  <c r="G49" i="78"/>
  <c r="J20" i="58" l="1"/>
  <c r="D42" i="78" s="1"/>
  <c r="E42" i="78"/>
  <c r="G42" i="78" l="1"/>
  <c r="F42" i="78"/>
  <c r="L42" i="78"/>
  <c r="Q18" i="58" l="1"/>
  <c r="N18" i="58" l="1"/>
  <c r="R18" i="58" s="1"/>
  <c r="N28" i="58" l="1"/>
  <c r="N20" i="58" l="1"/>
  <c r="L11" i="65" l="1"/>
  <c r="L17" i="65" s="1"/>
  <c r="J10" i="65"/>
  <c r="J17" i="65"/>
  <c r="J13" i="58" l="1"/>
  <c r="D38" i="78"/>
  <c r="N10" i="65"/>
  <c r="R11" i="65"/>
  <c r="R17" i="65" s="1"/>
  <c r="N17" i="65"/>
  <c r="N13" i="58" s="1"/>
  <c r="L10" i="65"/>
  <c r="J10" i="63" l="1"/>
  <c r="R13" i="58"/>
  <c r="F38" i="78"/>
  <c r="H10" i="66"/>
  <c r="G38" i="78"/>
  <c r="H38" i="78" s="1"/>
  <c r="H15" i="66" s="1"/>
  <c r="I15" i="66" s="1"/>
  <c r="L13" i="58"/>
  <c r="H10" i="63"/>
  <c r="L38" i="78" l="1"/>
  <c r="H14" i="66"/>
  <c r="H16" i="66" s="1"/>
  <c r="I16" i="66" s="1"/>
  <c r="J10" i="66" s="1"/>
  <c r="I10" i="66"/>
  <c r="I14" i="66" s="1"/>
  <c r="J14" i="66" l="1"/>
  <c r="J16" i="66" s="1"/>
  <c r="K10" i="66"/>
  <c r="M10" i="66" l="1"/>
  <c r="L10" i="66"/>
  <c r="L14" i="66" s="1"/>
  <c r="L16" i="66" s="1"/>
  <c r="S11" i="65"/>
  <c r="K14" i="66"/>
  <c r="K16" i="66" s="1"/>
  <c r="S17" i="65" l="1"/>
  <c r="S10" i="65"/>
  <c r="O10" i="66"/>
  <c r="O10" i="65"/>
  <c r="N10" i="66"/>
  <c r="N14" i="66" s="1"/>
  <c r="N16" i="66" s="1"/>
  <c r="T11" i="65"/>
  <c r="P10" i="65"/>
  <c r="M14" i="66"/>
  <c r="M16" i="66" s="1"/>
  <c r="T10" i="65" l="1"/>
  <c r="T17" i="65"/>
  <c r="Q10" i="65"/>
  <c r="R10" i="65" s="1"/>
  <c r="P10" i="66"/>
  <c r="P14" i="66" s="1"/>
  <c r="P16" i="66" s="1"/>
  <c r="O14" i="66"/>
  <c r="O16" i="66" s="1"/>
  <c r="U11" i="65"/>
  <c r="Q10" i="66"/>
  <c r="S13" i="58"/>
  <c r="E29" i="63"/>
  <c r="V11" i="65" l="1"/>
  <c r="Q14" i="66"/>
  <c r="Q16" i="66" s="1"/>
  <c r="S10" i="66"/>
  <c r="R10" i="66"/>
  <c r="R14" i="66" s="1"/>
  <c r="R16" i="66" s="1"/>
  <c r="U10" i="65"/>
  <c r="U17" i="65"/>
  <c r="T13" i="58"/>
  <c r="F29" i="63"/>
  <c r="G29" i="63" l="1"/>
  <c r="U13" i="58"/>
  <c r="T10" i="66"/>
  <c r="T14" i="66" s="1"/>
  <c r="T16" i="66" s="1"/>
  <c r="S14" i="66"/>
  <c r="S16" i="66" s="1"/>
  <c r="W11" i="65"/>
  <c r="V10" i="65"/>
  <c r="V17" i="65"/>
  <c r="V13" i="58" l="1"/>
  <c r="H29" i="63"/>
  <c r="W10" i="65"/>
  <c r="W17" i="65"/>
  <c r="W13" i="58" l="1"/>
  <c r="I29" i="63"/>
  <c r="C32" i="72" l="1"/>
  <c r="J31" i="72"/>
  <c r="N31" i="72" l="1"/>
  <c r="N32" i="72" s="1"/>
  <c r="J32" i="72"/>
  <c r="E26" i="58" l="1"/>
  <c r="E30" i="58"/>
  <c r="C8" i="80"/>
  <c r="C9" i="80" s="1"/>
  <c r="I8" i="80"/>
  <c r="I9" i="80" s="1"/>
  <c r="G15" i="62"/>
  <c r="E15" i="79"/>
  <c r="I21" i="58"/>
  <c r="M21" i="58"/>
  <c r="M26" i="58" s="1"/>
  <c r="M30" i="58" s="1"/>
  <c r="G21" i="58"/>
  <c r="K21" i="58"/>
  <c r="F15" i="79" l="1"/>
  <c r="F8" i="80"/>
  <c r="F9" i="80" s="1"/>
  <c r="I26" i="58"/>
  <c r="I30" i="58" s="1"/>
  <c r="K26" i="58"/>
  <c r="K30" i="58" s="1"/>
  <c r="E43" i="78"/>
  <c r="H8" i="80"/>
  <c r="E8" i="80"/>
  <c r="E16" i="78"/>
  <c r="G15" i="79"/>
  <c r="G17" i="79" s="1"/>
  <c r="F17" i="79"/>
  <c r="G26" i="58"/>
  <c r="G30" i="58" s="1"/>
  <c r="H15" i="62"/>
  <c r="K15" i="62"/>
  <c r="E21" i="78" l="1"/>
  <c r="E9" i="80"/>
  <c r="E10" i="80"/>
  <c r="T15" i="62"/>
  <c r="K15" i="79"/>
  <c r="O15" i="79" s="1"/>
  <c r="O17" i="79" s="1"/>
  <c r="O15" i="62"/>
  <c r="S15" i="62"/>
  <c r="P15" i="62"/>
  <c r="Q15" i="62"/>
  <c r="R15" i="62"/>
  <c r="J15" i="62"/>
  <c r="H15" i="79"/>
  <c r="J15" i="79" s="1"/>
  <c r="J17" i="79" s="1"/>
  <c r="H10" i="80"/>
  <c r="H9" i="80"/>
  <c r="F12" i="63"/>
  <c r="F13" i="63" s="1"/>
  <c r="F17" i="63" s="1"/>
  <c r="F21" i="58" s="1"/>
  <c r="F10" i="79"/>
  <c r="E48" i="78"/>
  <c r="I10" i="79"/>
  <c r="H12" i="63"/>
  <c r="H13" i="63" s="1"/>
  <c r="H17" i="63" s="1"/>
  <c r="J21" i="58" s="1"/>
  <c r="T15" i="79" l="1"/>
  <c r="T17" i="79" s="1"/>
  <c r="G67" i="73"/>
  <c r="E51" i="78"/>
  <c r="G45" i="73"/>
  <c r="R15" i="79"/>
  <c r="R17" i="79" s="1"/>
  <c r="F18" i="79"/>
  <c r="G18" i="79" s="1"/>
  <c r="G10" i="79"/>
  <c r="Q15" i="79"/>
  <c r="Q17" i="79" s="1"/>
  <c r="G34" i="73"/>
  <c r="I18" i="79"/>
  <c r="J18" i="79" s="1"/>
  <c r="J10" i="79"/>
  <c r="G23" i="73"/>
  <c r="P15" i="79"/>
  <c r="P17" i="79" s="1"/>
  <c r="E24" i="78"/>
  <c r="J26" i="58"/>
  <c r="J30" i="58" s="1"/>
  <c r="D43" i="78"/>
  <c r="G8" i="80"/>
  <c r="G9" i="80" s="1"/>
  <c r="L21" i="58"/>
  <c r="L26" i="58" s="1"/>
  <c r="L30" i="58" s="1"/>
  <c r="F26" i="58"/>
  <c r="F30" i="58" s="1"/>
  <c r="D8" i="80"/>
  <c r="D9" i="80" s="1"/>
  <c r="D16" i="78"/>
  <c r="H21" i="58"/>
  <c r="H26" i="58" s="1"/>
  <c r="H30" i="58" s="1"/>
  <c r="S15" i="79"/>
  <c r="S17" i="79" s="1"/>
  <c r="G56" i="73"/>
  <c r="D48" i="78" l="1"/>
  <c r="F43" i="78"/>
  <c r="F48" i="78" s="1"/>
  <c r="F51" i="78" s="1"/>
  <c r="G43" i="78"/>
  <c r="H43" i="78" s="1"/>
  <c r="L43" i="78" s="1"/>
  <c r="L48" i="78" s="1"/>
  <c r="L51" i="78" s="1"/>
  <c r="D21" i="78"/>
  <c r="G16" i="78"/>
  <c r="H16" i="78" s="1"/>
  <c r="L16" i="78" s="1"/>
  <c r="L21" i="78" s="1"/>
  <c r="L24" i="78" s="1"/>
  <c r="F16" i="78"/>
  <c r="F21" i="78" s="1"/>
  <c r="F24" i="78" s="1"/>
  <c r="F33" i="71"/>
  <c r="F35" i="71" s="1"/>
  <c r="N33" i="71"/>
  <c r="N35" i="71" s="1"/>
  <c r="G33" i="71"/>
  <c r="G35" i="71" s="1"/>
  <c r="I33" i="71"/>
  <c r="I35" i="71" s="1"/>
  <c r="H33" i="71"/>
  <c r="H35" i="71" s="1"/>
  <c r="E33" i="71"/>
  <c r="E35" i="71" s="1"/>
  <c r="J33" i="71"/>
  <c r="J35" i="71" s="1"/>
  <c r="M23" i="73"/>
  <c r="G25" i="73"/>
  <c r="C33" i="71"/>
  <c r="D33" i="71"/>
  <c r="D35" i="71" s="1"/>
  <c r="K33" i="71"/>
  <c r="K35" i="71" s="1"/>
  <c r="L33" i="71"/>
  <c r="L35" i="71" s="1"/>
  <c r="M33" i="71"/>
  <c r="M35" i="71" s="1"/>
  <c r="G13" i="74"/>
  <c r="G15" i="74" s="1"/>
  <c r="M56" i="73"/>
  <c r="G45" i="74"/>
  <c r="G47" i="74" s="1"/>
  <c r="G58" i="73"/>
  <c r="M67" i="73"/>
  <c r="G69" i="73"/>
  <c r="G56" i="74"/>
  <c r="G58" i="74" s="1"/>
  <c r="G47" i="73"/>
  <c r="M45" i="73"/>
  <c r="G35" i="74"/>
  <c r="G37" i="74" s="1"/>
  <c r="D41" i="71"/>
  <c r="D43" i="71" s="1"/>
  <c r="L41" i="71"/>
  <c r="L43" i="71" s="1"/>
  <c r="J48" i="71"/>
  <c r="J50" i="71" s="1"/>
  <c r="H56" i="71"/>
  <c r="H58" i="71" s="1"/>
  <c r="M34" i="73"/>
  <c r="G41" i="71"/>
  <c r="G43" i="71" s="1"/>
  <c r="E48" i="71"/>
  <c r="E50" i="71" s="1"/>
  <c r="C56" i="71"/>
  <c r="E41" i="71"/>
  <c r="E43" i="71" s="1"/>
  <c r="M41" i="71"/>
  <c r="M43" i="71" s="1"/>
  <c r="C48" i="71"/>
  <c r="K48" i="71"/>
  <c r="K50" i="71" s="1"/>
  <c r="I56" i="71"/>
  <c r="I58" i="71" s="1"/>
  <c r="G24" i="74"/>
  <c r="G26" i="74" s="1"/>
  <c r="F41" i="71"/>
  <c r="F43" i="71" s="1"/>
  <c r="N41" i="71"/>
  <c r="N43" i="71" s="1"/>
  <c r="D48" i="71"/>
  <c r="D50" i="71" s="1"/>
  <c r="L48" i="71"/>
  <c r="L50" i="71" s="1"/>
  <c r="J56" i="71"/>
  <c r="J58" i="71" s="1"/>
  <c r="G36" i="73"/>
  <c r="M48" i="71"/>
  <c r="M50" i="71" s="1"/>
  <c r="K56" i="71"/>
  <c r="K58" i="71" s="1"/>
  <c r="K41" i="71"/>
  <c r="K43" i="71" s="1"/>
  <c r="G56" i="71"/>
  <c r="G58" i="71" s="1"/>
  <c r="N56" i="71"/>
  <c r="N58" i="71" s="1"/>
  <c r="H41" i="71"/>
  <c r="H43" i="71" s="1"/>
  <c r="N48" i="71"/>
  <c r="N50" i="71" s="1"/>
  <c r="E56" i="71"/>
  <c r="E58" i="71" s="1"/>
  <c r="J41" i="71"/>
  <c r="J43" i="71" s="1"/>
  <c r="F48" i="71"/>
  <c r="F50" i="71" s="1"/>
  <c r="L56" i="71"/>
  <c r="L58" i="71" s="1"/>
  <c r="H48" i="71"/>
  <c r="H50" i="71" s="1"/>
  <c r="I41" i="71"/>
  <c r="I43" i="71" s="1"/>
  <c r="F56" i="71"/>
  <c r="F58" i="71" s="1"/>
  <c r="G48" i="71"/>
  <c r="G50" i="71" s="1"/>
  <c r="M56" i="71"/>
  <c r="M58" i="71" s="1"/>
  <c r="C41" i="71"/>
  <c r="I48" i="71"/>
  <c r="I50" i="71" s="1"/>
  <c r="D56" i="71"/>
  <c r="D58" i="71" s="1"/>
  <c r="L57" i="78" l="1"/>
  <c r="M58" i="78" s="1"/>
  <c r="L30" i="78"/>
  <c r="M31" i="78" s="1"/>
  <c r="M35" i="74"/>
  <c r="M37" i="74" s="1"/>
  <c r="M47" i="73"/>
  <c r="D24" i="78"/>
  <c r="G24" i="78" s="1"/>
  <c r="G21" i="78"/>
  <c r="O33" i="71"/>
  <c r="O35" i="71" s="1"/>
  <c r="C35" i="71"/>
  <c r="M24" i="74"/>
  <c r="M26" i="74" s="1"/>
  <c r="M36" i="73"/>
  <c r="O48" i="71"/>
  <c r="O50" i="71" s="1"/>
  <c r="C50" i="71"/>
  <c r="M69" i="73"/>
  <c r="M56" i="74"/>
  <c r="M58" i="74" s="1"/>
  <c r="F64" i="71"/>
  <c r="F66" i="71" s="1"/>
  <c r="N64" i="71"/>
  <c r="N66" i="71" s="1"/>
  <c r="G64" i="71"/>
  <c r="G66" i="71" s="1"/>
  <c r="H64" i="71"/>
  <c r="H66" i="71" s="1"/>
  <c r="I64" i="71"/>
  <c r="I66" i="71" s="1"/>
  <c r="M64" i="71"/>
  <c r="M66" i="71" s="1"/>
  <c r="K64" i="71"/>
  <c r="K66" i="71" s="1"/>
  <c r="D64" i="71"/>
  <c r="D66" i="71" s="1"/>
  <c r="E64" i="71"/>
  <c r="E66" i="71" s="1"/>
  <c r="J64" i="71"/>
  <c r="J66" i="71" s="1"/>
  <c r="L64" i="71"/>
  <c r="L66" i="71" s="1"/>
  <c r="C64" i="71"/>
  <c r="D51" i="78"/>
  <c r="G51" i="78" s="1"/>
  <c r="G48" i="78"/>
  <c r="O41" i="71"/>
  <c r="O43" i="71" s="1"/>
  <c r="C43" i="71"/>
  <c r="C58" i="71"/>
  <c r="O56" i="71"/>
  <c r="O58" i="71" s="1"/>
  <c r="M45" i="74"/>
  <c r="M47" i="74" s="1"/>
  <c r="M58" i="73"/>
  <c r="M13" i="74"/>
  <c r="M15" i="74" s="1"/>
  <c r="M25" i="73"/>
  <c r="O64" i="71" l="1"/>
  <c r="O66" i="71" s="1"/>
  <c r="C66" i="71"/>
  <c r="N21" i="58"/>
  <c r="O21" i="58"/>
  <c r="P21" i="58"/>
  <c r="Q21" i="58"/>
  <c r="R21" i="58"/>
  <c r="S21" i="58"/>
  <c r="T21" i="58"/>
  <c r="U21" i="58"/>
  <c r="V21" i="58"/>
  <c r="W21" i="58"/>
  <c r="N26" i="58"/>
  <c r="O26" i="58"/>
  <c r="P26" i="58"/>
  <c r="Q26" i="58"/>
  <c r="R26" i="58"/>
  <c r="S26" i="58"/>
  <c r="T26" i="58"/>
  <c r="U26" i="58"/>
  <c r="V26" i="58"/>
  <c r="W26" i="58"/>
  <c r="N30" i="58"/>
  <c r="O30" i="58"/>
  <c r="P30" i="58"/>
  <c r="Q30" i="58"/>
  <c r="R30" i="58"/>
  <c r="S30" i="58"/>
  <c r="T30" i="58"/>
  <c r="U30" i="58"/>
  <c r="V30" i="58"/>
  <c r="W30" i="58"/>
  <c r="J8" i="80"/>
  <c r="K8" i="80"/>
  <c r="L8" i="80"/>
  <c r="M8" i="80"/>
  <c r="N8" i="80"/>
  <c r="O8" i="80"/>
  <c r="P8" i="80"/>
  <c r="J9" i="80"/>
  <c r="K9" i="80"/>
  <c r="L9" i="80"/>
  <c r="M9" i="80"/>
  <c r="N9" i="80"/>
  <c r="O9" i="80"/>
  <c r="P9" i="80"/>
  <c r="K10" i="80"/>
  <c r="L10" i="80"/>
  <c r="M10" i="80"/>
  <c r="N10" i="80"/>
  <c r="O10" i="80"/>
  <c r="P10" i="80"/>
  <c r="L10" i="79"/>
  <c r="M10" i="79"/>
  <c r="N10" i="79"/>
  <c r="O10" i="79"/>
  <c r="P10" i="79"/>
  <c r="Q10" i="79"/>
  <c r="R10" i="79"/>
  <c r="S10" i="79"/>
  <c r="T10" i="79"/>
  <c r="L18" i="79"/>
  <c r="M18" i="79"/>
  <c r="N18" i="79"/>
  <c r="O18" i="79"/>
  <c r="P18" i="79"/>
  <c r="Q18" i="79"/>
  <c r="R18" i="79"/>
  <c r="S18" i="79"/>
  <c r="T18" i="79"/>
  <c r="J12" i="63"/>
  <c r="J13" i="63"/>
  <c r="J17" i="63"/>
  <c r="E31" i="63"/>
  <c r="F31" i="63"/>
  <c r="G31" i="63"/>
  <c r="H31" i="63"/>
  <c r="I31" i="63"/>
  <c r="E32" i="63"/>
  <c r="F32" i="63"/>
  <c r="G32" i="63"/>
  <c r="H32" i="63"/>
  <c r="I32" i="63"/>
  <c r="E36" i="63"/>
  <c r="F36" i="63"/>
  <c r="G36" i="63"/>
  <c r="H36" i="63"/>
  <c r="I36" i="63"/>
  <c r="C23" i="73"/>
  <c r="D23" i="73"/>
  <c r="J23" i="73"/>
  <c r="K23" i="73"/>
  <c r="N23" i="73"/>
  <c r="J25" i="73"/>
  <c r="K25" i="73"/>
  <c r="N25" i="73"/>
  <c r="C34" i="73"/>
  <c r="D34" i="73"/>
  <c r="J34" i="73"/>
  <c r="K34" i="73"/>
  <c r="N34" i="73"/>
  <c r="J36" i="73"/>
  <c r="K36" i="73"/>
  <c r="N36" i="73"/>
  <c r="C45" i="73"/>
  <c r="D45" i="73"/>
  <c r="J45" i="73"/>
  <c r="K45" i="73"/>
  <c r="N45" i="73"/>
  <c r="J47" i="73"/>
  <c r="K47" i="73"/>
  <c r="N47" i="73"/>
  <c r="C56" i="73"/>
  <c r="D56" i="73"/>
  <c r="J56" i="73"/>
  <c r="K56" i="73"/>
  <c r="N56" i="73"/>
  <c r="J58" i="73"/>
  <c r="K58" i="73"/>
  <c r="N58" i="73"/>
  <c r="C67" i="73"/>
  <c r="D67" i="73"/>
  <c r="J67" i="73"/>
  <c r="K67" i="73"/>
  <c r="N67" i="73"/>
  <c r="J69" i="73"/>
  <c r="K69" i="73"/>
  <c r="N69" i="73"/>
  <c r="C13" i="74"/>
  <c r="D13" i="74"/>
  <c r="J13" i="74"/>
  <c r="K13" i="74"/>
  <c r="N13" i="74"/>
  <c r="J15" i="74"/>
  <c r="K15" i="74"/>
  <c r="N15" i="74"/>
  <c r="C24" i="74"/>
  <c r="D24" i="74"/>
  <c r="J24" i="74"/>
  <c r="K24" i="74"/>
  <c r="N24" i="74"/>
  <c r="J26" i="74"/>
  <c r="K26" i="74"/>
  <c r="N26" i="74"/>
  <c r="C35" i="74"/>
  <c r="D35" i="74"/>
  <c r="J35" i="74"/>
  <c r="K35" i="74"/>
  <c r="N35" i="74"/>
  <c r="J37" i="74"/>
  <c r="K37" i="74"/>
  <c r="N37" i="74"/>
  <c r="C45" i="74"/>
  <c r="D45" i="74"/>
  <c r="J45" i="74"/>
  <c r="K45" i="74"/>
  <c r="N45" i="74"/>
  <c r="J47" i="74"/>
  <c r="K47" i="74"/>
  <c r="N47" i="74"/>
  <c r="D56" i="74"/>
  <c r="K56" i="74"/>
  <c r="N56" i="74"/>
  <c r="K58" i="74"/>
  <c r="N5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C11" authorId="0" shapeId="0" xr:uid="{00000000-0006-0000-0600-000001000000}">
      <text>
        <r>
          <rPr>
            <b/>
            <sz val="9"/>
            <color indexed="81"/>
            <rFont val="Tahoma"/>
            <family val="2"/>
          </rPr>
          <t>Anil Patkare: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9" authorId="0" shapeId="0" xr:uid="{00000000-0006-0000-0D00-000001000000}">
      <text>
        <r>
          <rPr>
            <b/>
            <sz val="9"/>
            <color indexed="81"/>
            <rFont val="Tahoma"/>
            <family val="2"/>
          </rPr>
          <t>MercadosEMI:</t>
        </r>
        <r>
          <rPr>
            <sz val="9"/>
            <color indexed="81"/>
            <rFont val="Tahoma"/>
            <family val="2"/>
          </rPr>
          <t xml:space="preserve">
Admin building Rent (Treatment is different as per IND AS)</t>
        </r>
      </text>
    </comment>
    <comment ref="E39" authorId="0" shapeId="0" xr:uid="{00000000-0006-0000-0D00-000002000000}">
      <text>
        <r>
          <rPr>
            <b/>
            <sz val="9"/>
            <color indexed="81"/>
            <rFont val="Tahoma"/>
            <family val="2"/>
          </rPr>
          <t>MercadosEMI:</t>
        </r>
        <r>
          <rPr>
            <sz val="9"/>
            <color indexed="81"/>
            <rFont val="Tahoma"/>
            <family val="2"/>
          </rPr>
          <t xml:space="preserve">
Admin building Rent (Treatment is different as per IND AS)</t>
        </r>
      </text>
    </comment>
    <comment ref="F39" authorId="0" shapeId="0" xr:uid="{00000000-0006-0000-0D00-000003000000}">
      <text>
        <r>
          <rPr>
            <b/>
            <sz val="9"/>
            <color indexed="81"/>
            <rFont val="Tahoma"/>
            <family val="2"/>
          </rPr>
          <t>MercadosEMI:</t>
        </r>
        <r>
          <rPr>
            <sz val="9"/>
            <color indexed="81"/>
            <rFont val="Tahoma"/>
            <family val="2"/>
          </rPr>
          <t xml:space="preserve">
Admin building Rent (Treatment is different as per IND AS)</t>
        </r>
      </text>
    </comment>
    <comment ref="G39" authorId="0" shapeId="0" xr:uid="{00000000-0006-0000-0D00-000004000000}">
      <text>
        <r>
          <rPr>
            <b/>
            <sz val="9"/>
            <color indexed="81"/>
            <rFont val="Tahoma"/>
            <family val="2"/>
          </rPr>
          <t>MercadosEMI:</t>
        </r>
        <r>
          <rPr>
            <sz val="9"/>
            <color indexed="81"/>
            <rFont val="Tahoma"/>
            <family val="2"/>
          </rPr>
          <t xml:space="preserve">
Admin building Rent (Treatment is different as per IND 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SSP-RCD</author>
  </authors>
  <commentList>
    <comment ref="M4" authorId="0" shapeId="0" xr:uid="{185CBC22-47FB-465A-8BD9-40AE8239B5D3}">
      <text>
        <r>
          <rPr>
            <b/>
            <sz val="9"/>
            <color indexed="81"/>
            <rFont val="Tahoma"/>
            <family val="2"/>
          </rPr>
          <t xml:space="preserve">SSP-RCD
</t>
        </r>
        <r>
          <rPr>
            <sz val="9"/>
            <color indexed="81"/>
            <rFont val="Tahoma"/>
            <family val="2"/>
          </rPr>
          <t>As per the implementation plan submitted in the DPR/ Approved by MERC</t>
        </r>
      </text>
    </comment>
    <comment ref="P11" authorId="1" shapeId="0" xr:uid="{CF3E85A3-64D3-4CBD-A152-CAF6CB42D34D}">
      <text>
        <r>
          <rPr>
            <b/>
            <sz val="9"/>
            <color indexed="81"/>
            <rFont val="Tahoma"/>
            <family val="2"/>
          </rPr>
          <t>SSP-RCD:</t>
        </r>
        <r>
          <rPr>
            <sz val="9"/>
            <color indexed="81"/>
            <rFont val="Tahoma"/>
            <family val="2"/>
          </rPr>
          <t xml:space="preserve">
FY 2013-14</t>
        </r>
      </text>
    </comment>
    <comment ref="AM11" authorId="1" shapeId="0" xr:uid="{1EB0A76B-2633-4CFB-8FBF-5F62D661BC04}">
      <text>
        <r>
          <rPr>
            <b/>
            <sz val="9"/>
            <color indexed="81"/>
            <rFont val="Tahoma"/>
            <family val="2"/>
          </rPr>
          <t>SSP-RCD:</t>
        </r>
        <r>
          <rPr>
            <sz val="9"/>
            <color indexed="81"/>
            <rFont val="Tahoma"/>
            <family val="2"/>
          </rPr>
          <t xml:space="preserve">
FY 2013-14</t>
        </r>
      </text>
    </comment>
    <comment ref="P12" authorId="1" shapeId="0" xr:uid="{62A212E8-234C-414C-825B-146F1192F210}">
      <text>
        <r>
          <rPr>
            <b/>
            <sz val="9"/>
            <color indexed="81"/>
            <rFont val="Tahoma"/>
            <family val="2"/>
          </rPr>
          <t>SSP-RCD:</t>
        </r>
        <r>
          <rPr>
            <sz val="9"/>
            <color indexed="81"/>
            <rFont val="Tahoma"/>
            <family val="2"/>
          </rPr>
          <t xml:space="preserve">
FY 2013-14</t>
        </r>
      </text>
    </comment>
    <comment ref="AM12" authorId="1" shapeId="0" xr:uid="{D8E30EBF-BEEA-4042-A26F-86777263DF48}">
      <text>
        <r>
          <rPr>
            <b/>
            <sz val="9"/>
            <color indexed="81"/>
            <rFont val="Tahoma"/>
            <family val="2"/>
          </rPr>
          <t>SSP-RCD:</t>
        </r>
        <r>
          <rPr>
            <sz val="9"/>
            <color indexed="81"/>
            <rFont val="Tahoma"/>
            <family val="2"/>
          </rPr>
          <t xml:space="preserve">
FY 2013-14</t>
        </r>
      </text>
    </comment>
  </commentList>
</comments>
</file>

<file path=xl/sharedStrings.xml><?xml version="1.0" encoding="utf-8"?>
<sst xmlns="http://schemas.openxmlformats.org/spreadsheetml/2006/main" count="7259" uniqueCount="1685">
  <si>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</si>
  <si>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</si>
  <si>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</si>
  <si>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</si>
  <si>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</si>
  <si>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</si>
  <si>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</si>
  <si>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</si>
  <si>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</si>
  <si>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</si>
  <si>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</si>
  <si>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</si>
  <si>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</si>
  <si>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</si>
  <si>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</si>
  <si>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</si>
  <si>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</si>
  <si>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</si>
  <si>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</si>
  <si>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</si>
  <si>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</si>
  <si>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</si>
  <si>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</si>
  <si>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</si>
  <si>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</si>
  <si>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</si>
  <si>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</si>
  <si>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</si>
  <si>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</si>
  <si>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</si>
  <si>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</si>
  <si>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</si>
  <si>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</si>
  <si>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</si>
  <si>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</si>
  <si>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</si>
  <si>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</si>
  <si>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</si>
  <si>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</si>
  <si>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</si>
  <si>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</si>
  <si>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</si>
  <si>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</si>
  <si>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</si>
  <si>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</si>
  <si>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</si>
  <si>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</si>
  <si>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</si>
  <si>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</si>
  <si>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</si>
  <si>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</si>
  <si>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</si>
  <si>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</si>
  <si>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</si>
  <si>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</si>
  <si>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</si>
  <si>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</si>
  <si>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</si>
  <si>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</si>
  <si>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</si>
  <si>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</si>
  <si>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</si>
  <si>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</si>
  <si>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</si>
  <si>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</si>
  <si>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</si>
  <si>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</si>
  <si>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</si>
  <si>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</si>
  <si>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</si>
  <si>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</si>
  <si>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</si>
  <si>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</si>
  <si>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</si>
  <si>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</si>
  <si>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</si>
  <si>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</si>
  <si>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</si>
  <si>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</si>
  <si>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</si>
  <si>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</si>
  <si>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</si>
  <si>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</si>
  <si>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</si>
  <si>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</si>
  <si>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</si>
  <si>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</si>
  <si>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</si>
  <si>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</si>
  <si>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</si>
  <si>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</si>
  <si>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</si>
  <si>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</si>
  <si>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</si>
  <si>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</si>
  <si>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</si>
  <si>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</si>
  <si>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</si>
  <si>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</si>
  <si>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</si>
  <si>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</si>
  <si>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Normative Auxiliary Energy Consumption</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</si>
  <si>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</si>
  <si>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</si>
  <si>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</si>
  <si>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</si>
  <si>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</si>
  <si>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</si>
  <si>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</si>
  <si>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</si>
  <si>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</si>
  <si>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</si>
  <si>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</si>
  <si>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</si>
  <si>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</si>
  <si>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</si>
  <si>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</si>
  <si>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</si>
  <si>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</si>
  <si>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</si>
  <si>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</si>
  <si>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</si>
  <si>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</si>
  <si>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unit/kWh</t>
  </si>
  <si>
    <t>3.1.2</t>
  </si>
  <si>
    <t>3.1.3</t>
  </si>
  <si>
    <t>Total Fuel Consumption</t>
  </si>
  <si>
    <t>3.2.1</t>
  </si>
  <si>
    <t>3.2.2</t>
  </si>
  <si>
    <t>3.2.3</t>
  </si>
  <si>
    <t>Heat Content (each fuel separately)</t>
  </si>
  <si>
    <t>3.3.1</t>
  </si>
  <si>
    <t>Million kcal</t>
  </si>
  <si>
    <t>3.3.2</t>
  </si>
  <si>
    <t>3.3.3</t>
  </si>
  <si>
    <t>Total Fuel Cost</t>
  </si>
  <si>
    <t>Rs Crore</t>
  </si>
  <si>
    <t>Other Charges and Adjustments</t>
  </si>
  <si>
    <t>Other Charges (pl. specify details)</t>
  </si>
  <si>
    <t>Total Other Charges and Adjustments</t>
  </si>
  <si>
    <t>Rs/kWh</t>
  </si>
  <si>
    <t>Note</t>
  </si>
  <si>
    <t>The energy charge should be computed for open cycle operation and combined cycle operation separately in case of gas/liquid fuel fired plants.</t>
  </si>
  <si>
    <t xml:space="preserve">Operational data are to be submitted for each Unit of each station separately </t>
  </si>
  <si>
    <t>Unit</t>
  </si>
  <si>
    <t>Basic Cost</t>
  </si>
  <si>
    <t xml:space="preserve">Freight </t>
  </si>
  <si>
    <t>Freight Surcharge, if applicable</t>
  </si>
  <si>
    <t>Fuel Handling Charges</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</si>
  <si>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</si>
  <si>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</si>
  <si>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</si>
  <si>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</si>
  <si>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</si>
  <si>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</si>
  <si>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</si>
  <si>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</si>
  <si>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</si>
  <si>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</si>
  <si>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</si>
  <si>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</si>
  <si>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</si>
  <si>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</si>
  <si>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</si>
  <si>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</si>
  <si>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</si>
  <si>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</si>
  <si>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</si>
  <si>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</si>
  <si>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</si>
  <si>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</si>
  <si>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</si>
  <si>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</si>
  <si>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</si>
  <si>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</si>
  <si>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</si>
  <si>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</si>
  <si>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</si>
  <si>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</si>
  <si>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</si>
  <si>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</si>
  <si>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</si>
  <si>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</si>
  <si>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</si>
  <si>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</si>
  <si>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</si>
  <si>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</si>
  <si>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</si>
  <si>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</si>
  <si>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</si>
  <si>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</si>
  <si>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</si>
  <si>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</si>
  <si>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</si>
  <si>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</si>
  <si>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</si>
  <si>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</si>
  <si>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</si>
  <si>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</si>
  <si>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</si>
  <si>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</si>
  <si>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</si>
  <si>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</si>
  <si>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</si>
  <si>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</si>
  <si>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</si>
  <si>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</si>
  <si>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</si>
  <si>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</si>
  <si>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</si>
  <si>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</si>
  <si>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</si>
  <si>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</si>
  <si>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</si>
  <si>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</si>
  <si>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</si>
  <si>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</si>
  <si>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</si>
  <si>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</si>
  <si>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</si>
  <si>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</si>
  <si>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</si>
  <si>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</si>
  <si>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</si>
  <si>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</si>
  <si>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</si>
  <si>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</si>
  <si>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</si>
  <si>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</si>
  <si>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</si>
  <si>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</si>
  <si>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</si>
  <si>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</si>
  <si>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</si>
  <si>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</si>
  <si>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</si>
  <si>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</si>
  <si>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</si>
  <si>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</si>
  <si>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</si>
  <si>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</si>
  <si>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</si>
  <si>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</si>
  <si>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</si>
  <si>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</si>
  <si>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</si>
  <si>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</si>
  <si>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</si>
  <si>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</si>
  <si>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</si>
  <si>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</si>
  <si>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</si>
  <si>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</si>
  <si>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</si>
  <si>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</si>
  <si>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Buildings</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</si>
  <si>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</si>
  <si>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</si>
  <si>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</si>
  <si>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</si>
  <si>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</si>
  <si>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</si>
  <si>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</si>
  <si>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</si>
  <si>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</si>
  <si>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</si>
  <si>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</si>
  <si>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</si>
  <si>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</si>
  <si>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</si>
  <si>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</si>
  <si>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</si>
  <si>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</si>
  <si>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</si>
  <si>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</si>
  <si>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</si>
  <si>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</si>
  <si>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</si>
  <si>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</si>
  <si>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</si>
  <si>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</si>
  <si>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</si>
  <si>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</si>
  <si>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</si>
  <si>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</si>
  <si>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</si>
  <si>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</si>
  <si>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</si>
  <si>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</si>
  <si>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</si>
  <si>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</si>
  <si>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</si>
  <si>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</si>
  <si>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</si>
  <si>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</si>
  <si>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</si>
  <si>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</si>
  <si>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</si>
  <si>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</si>
  <si>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</si>
  <si>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</si>
  <si>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</si>
  <si>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</si>
  <si>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</si>
  <si>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</si>
  <si>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</si>
  <si>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</si>
  <si>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</si>
  <si>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</si>
  <si>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</si>
  <si>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</si>
  <si>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</si>
  <si>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</si>
  <si>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</si>
  <si>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</si>
  <si>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</si>
  <si>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</si>
  <si>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Auxiliary Energy Consumption</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</si>
  <si>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</si>
  <si>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</si>
  <si>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</si>
  <si>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</si>
  <si>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</si>
  <si>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</si>
  <si>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</si>
  <si>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</si>
  <si>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</si>
  <si>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</si>
  <si>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</si>
  <si>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</si>
  <si>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</si>
  <si>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</si>
  <si>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</si>
  <si>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</si>
  <si>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</si>
  <si>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Interest on Loan Capital</t>
  </si>
  <si>
    <t xml:space="preserve">Depreciation </t>
  </si>
  <si>
    <t>Calorific Value (As Fired)</t>
  </si>
  <si>
    <t>2.3.1</t>
  </si>
  <si>
    <t>2.3.2</t>
  </si>
  <si>
    <t>2.3.3</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</si>
  <si>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</si>
  <si>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</si>
  <si>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</si>
  <si>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</si>
  <si>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</si>
  <si>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</si>
  <si>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</si>
  <si>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</si>
  <si>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</si>
  <si>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</si>
  <si>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</si>
  <si>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</si>
  <si>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</si>
  <si>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</si>
  <si>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</si>
  <si>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</si>
  <si>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</si>
  <si>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2.4.1</t>
  </si>
  <si>
    <t>2.4.2</t>
  </si>
  <si>
    <t>2.4.3</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</si>
  <si>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</si>
  <si>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</si>
  <si>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</si>
  <si>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</si>
  <si>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</si>
  <si>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</si>
  <si>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</si>
  <si>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</si>
  <si>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</si>
  <si>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</si>
  <si>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</si>
  <si>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</si>
  <si>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</si>
  <si>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</si>
  <si>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</si>
  <si>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</si>
  <si>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</si>
  <si>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</si>
  <si>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</si>
  <si>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</si>
  <si>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</si>
  <si>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</si>
  <si>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</si>
  <si>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</si>
  <si>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Total Working Capital Requirement</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</si>
  <si>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</si>
  <si>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</si>
  <si>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</si>
  <si>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</si>
  <si>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</si>
  <si>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</si>
  <si>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</si>
  <si>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</si>
  <si>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t>
  </si>
  <si>
    <t>Operational Parameters-Thermal Generation</t>
  </si>
  <si>
    <t>Total Operation &amp; Maintenance Expenses (Net of Capitalisation)</t>
  </si>
  <si>
    <t>(d)</t>
  </si>
  <si>
    <t>(e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</si>
  <si>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</si>
  <si>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</si>
  <si>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</si>
  <si>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</si>
  <si>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</si>
  <si>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</si>
  <si>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</si>
  <si>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</si>
  <si>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</si>
  <si>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</si>
  <si>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</si>
  <si>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</si>
  <si>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</si>
  <si>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</si>
  <si>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</si>
  <si>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</si>
  <si>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</si>
  <si>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</si>
  <si>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</si>
  <si>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</si>
  <si>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</si>
  <si>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</si>
  <si>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</si>
  <si>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</si>
  <si>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</si>
  <si>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</si>
  <si>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</si>
  <si>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</si>
  <si>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</si>
  <si>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</si>
  <si>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</si>
  <si>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</si>
  <si>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</si>
  <si>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</si>
  <si>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</si>
  <si>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</si>
  <si>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</si>
  <si>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</si>
  <si>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</si>
  <si>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</si>
  <si>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</si>
  <si>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</si>
  <si>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</si>
  <si>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</si>
  <si>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</si>
  <si>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</si>
  <si>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</si>
  <si>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</si>
  <si>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</si>
  <si>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</si>
  <si>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</si>
  <si>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</si>
  <si>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</si>
  <si>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</si>
  <si>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 xml:space="preserve">Operational data is to be submitted for each Unit of each station separately </t>
  </si>
  <si>
    <t>Details to be submitted for each primary and secondary fuel separately</t>
  </si>
  <si>
    <t>Oct-Mar          (Estimated)</t>
  </si>
  <si>
    <t>Actual stacking loss</t>
  </si>
  <si>
    <t>unit</t>
  </si>
  <si>
    <t>MYT Order</t>
  </si>
  <si>
    <t>True-Up requirement</t>
  </si>
  <si>
    <t>Provisional True-Up requirement</t>
  </si>
  <si>
    <t>Less: Payables for Fuel</t>
  </si>
  <si>
    <t>Target Availability (%)</t>
  </si>
  <si>
    <t>Petitioner should submit documentary evidence for actual interest on working capital incurred</t>
  </si>
  <si>
    <t>Legend</t>
  </si>
  <si>
    <t>(f) = (e) - (d)</t>
  </si>
  <si>
    <t xml:space="preserve">This Fuel Price Break up should be submitted for each Unit/Station providing the break up of fuel price of primary fuel </t>
  </si>
  <si>
    <t xml:space="preserve">This form should be submitted for each station separately </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</si>
  <si>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</si>
  <si>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</si>
  <si>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</si>
  <si>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</si>
  <si>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</si>
  <si>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</si>
  <si>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</si>
  <si>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</si>
  <si>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</si>
  <si>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</si>
  <si>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</si>
  <si>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</si>
  <si>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</si>
  <si>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</si>
  <si>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</si>
  <si>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</si>
  <si>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</si>
  <si>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Details for each Station/Unit to be submitted separately for each Year for which Truing Up is being claimed</t>
  </si>
  <si>
    <t>Income from Sale of Scrap</t>
  </si>
  <si>
    <t>Income from Rents of land or buildings</t>
  </si>
  <si>
    <t>Interest income on advances to suppliers/contractors</t>
  </si>
  <si>
    <t>….</t>
  </si>
  <si>
    <t>Station/Unit: _________________</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</si>
  <si>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</si>
  <si>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</si>
  <si>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</si>
  <si>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</si>
  <si>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</si>
  <si>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</si>
  <si>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</si>
  <si>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</si>
  <si>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</si>
  <si>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</si>
  <si>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</si>
  <si>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</si>
  <si>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</si>
  <si>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</si>
  <si>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</si>
  <si>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</si>
  <si>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</si>
  <si>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</si>
  <si>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</si>
  <si>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</si>
  <si>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</si>
  <si>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</si>
  <si>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</si>
  <si>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</si>
  <si>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</si>
  <si>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</si>
  <si>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</si>
  <si>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</si>
  <si>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</si>
  <si>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</si>
  <si>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</si>
  <si>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</si>
  <si>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</si>
  <si>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</si>
  <si>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</si>
  <si>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</si>
  <si>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</si>
  <si>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</si>
  <si>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</si>
  <si>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</si>
  <si>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</si>
  <si>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</si>
  <si>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</si>
  <si>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</si>
  <si>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</si>
  <si>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</si>
  <si>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</si>
  <si>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</si>
  <si>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</si>
  <si>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</si>
  <si>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</si>
  <si>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</si>
  <si>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</si>
  <si>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</si>
  <si>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</si>
  <si>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</si>
  <si>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</si>
  <si>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</si>
  <si>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</si>
  <si>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</si>
  <si>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</si>
  <si>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</si>
  <si>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</si>
  <si>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</si>
  <si>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</si>
  <si>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</si>
  <si>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</si>
  <si>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</si>
  <si>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</si>
  <si>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</si>
  <si>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</si>
  <si>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Payables for fuel shall not be deducted to the extent of actual payment of advance if any, substantiated by documentary evidence</t>
  </si>
  <si>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</si>
  <si>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</si>
  <si>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</si>
  <si>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</si>
  <si>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</si>
  <si>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</si>
  <si>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</si>
  <si>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</si>
  <si>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</si>
  <si>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</si>
  <si>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</si>
  <si>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</si>
  <si>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</si>
  <si>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</si>
  <si>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</si>
  <si>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</si>
  <si>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</si>
  <si>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</si>
  <si>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</si>
  <si>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</si>
  <si>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</si>
  <si>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</si>
  <si>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</si>
  <si>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</si>
  <si>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</si>
  <si>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</si>
  <si>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</si>
  <si>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</si>
  <si>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</si>
  <si>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</si>
  <si>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</si>
  <si>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</si>
  <si>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</si>
  <si>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</si>
  <si>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</si>
  <si>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</si>
  <si>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</si>
  <si>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</si>
  <si>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</si>
  <si>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</si>
  <si>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</si>
  <si>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</si>
  <si>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</si>
  <si>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</si>
  <si>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</si>
  <si>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</si>
  <si>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</si>
  <si>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</si>
  <si>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</si>
  <si>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</si>
  <si>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</si>
  <si>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</si>
  <si>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</si>
  <si>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</si>
  <si>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</si>
  <si>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</si>
  <si>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</si>
  <si>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Revised Normative</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</si>
  <si>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</si>
  <si>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</si>
  <si>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</si>
  <si>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</si>
  <si>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</si>
  <si>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</si>
  <si>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</si>
  <si>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</si>
  <si>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</si>
  <si>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</si>
  <si>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</si>
  <si>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</si>
  <si>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</si>
  <si>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</si>
  <si>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</si>
  <si>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</si>
  <si>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</si>
  <si>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</si>
  <si>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</si>
  <si>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</si>
  <si>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</si>
  <si>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</si>
  <si>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</si>
  <si>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</si>
  <si>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</si>
  <si>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</si>
  <si>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</si>
  <si>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</si>
  <si>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</si>
  <si>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 xml:space="preserve">To be submitted separately for each Unit/Station for which Tariff is to be determined separately </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</si>
  <si>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</si>
  <si>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</si>
  <si>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</si>
  <si>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</si>
  <si>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</si>
  <si>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</si>
  <si>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</si>
  <si>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</si>
  <si>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</si>
  <si>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</si>
  <si>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</si>
  <si>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</si>
  <si>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</si>
  <si>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</si>
  <si>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</si>
  <si>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</si>
  <si>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</si>
  <si>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</si>
  <si>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</si>
  <si>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</si>
  <si>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(m) = (i)+(j)-(k)-(l)</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</si>
  <si>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</si>
  <si>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</si>
  <si>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</si>
  <si>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</si>
  <si>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</si>
  <si>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</si>
  <si>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</si>
  <si>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</si>
  <si>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</si>
  <si>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</si>
  <si>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</si>
  <si>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</si>
  <si>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</si>
  <si>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</si>
  <si>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</si>
  <si>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</si>
  <si>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</si>
  <si>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</si>
  <si>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</si>
  <si>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</si>
  <si>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(c) = (b) - (a)</t>
  </si>
  <si>
    <t>(j) = (h)+(i)</t>
  </si>
  <si>
    <r>
      <rPr>
        <b/>
        <sz val="11"/>
        <rFont val="Times New Roman"/>
        <family val="1"/>
      </rPr>
      <t>Note</t>
    </r>
    <r>
      <rPr>
        <sz val="11"/>
        <rFont val="Times New Roman"/>
        <family val="1"/>
      </rPr>
      <t>: * - Truing Up for FY 2019-20 to be done under MERC MYT Regulations 2015 with reference to amounts approved in the MYT Order for FY 2020-21 to FY 2024-25</t>
    </r>
  </si>
  <si>
    <t>Provisional</t>
  </si>
  <si>
    <t>Scheduled PLF</t>
  </si>
  <si>
    <t>Actual Availability</t>
  </si>
  <si>
    <t>Generator shall provide SLDC certifcate substantiating Unit wise actual generation for FY 2019-20 to FY 2021-22 and Unit wise schduled generation for FY 2020-21 and FY 2021-22</t>
  </si>
  <si>
    <t>* - Truing Up for FY 2019-20 to be done under MERC MYT Regulations 2015 with reference to amounts approved in the MYT Order for FY 2020-21 to FY 2024-25</t>
  </si>
  <si>
    <t>Generator shall provide SLDC certifcate substantiating  Unit wise actual availablity of peak and off-peak hours during High Demand and Low Demand Season for FY 2020-21 and FY 2021-22</t>
  </si>
  <si>
    <t>Normative Auxiliary Energy Consumption with Flue Gas De-sulphuriser</t>
  </si>
  <si>
    <t>Actual/Estimated/Projected Auxiliary Energy Consumption with Flue Gas De-sulphuriser</t>
  </si>
  <si>
    <t>Actual/Estimated/Projected Auxiliary Energy Consumption</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</si>
  <si>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</si>
  <si>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</si>
  <si>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</si>
  <si>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</si>
  <si>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</si>
  <si>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</si>
  <si>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</si>
  <si>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</si>
  <si>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</si>
  <si>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</si>
  <si>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</si>
  <si>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</si>
  <si>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</si>
  <si>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</si>
  <si>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</si>
  <si>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</si>
  <si>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</si>
  <si>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</si>
  <si>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</si>
  <si>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</si>
  <si>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</si>
  <si>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</si>
  <si>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</si>
  <si>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A) FY 2019-20</t>
  </si>
  <si>
    <t>Scheduled Generation (MU)</t>
  </si>
  <si>
    <t>*Working Capital shall be computed based on revised normative O&amp;M expenses and actual revenue from sale of electricity excluding incentive</t>
  </si>
  <si>
    <t xml:space="preserve">* Working capital shall be computed based on lower of actual or normative fuel stock </t>
  </si>
  <si>
    <t xml:space="preserve"> * - In case MYT Order is yet to be issued, then MTR Order values to be captured under this column</t>
  </si>
  <si>
    <t>Receivables#</t>
  </si>
  <si>
    <t>* Working Capital shall be computed based on revised normative O&amp;M expenses and actual revenue from sale of electricity excluding incentive, if any</t>
  </si>
  <si>
    <t># Receivables to be computed on normative capacity index and excluding incentive, if any</t>
  </si>
  <si>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</si>
  <si>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</si>
  <si>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</si>
  <si>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</si>
  <si>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</si>
  <si>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Note: * - Truing Up for FY 2019-20 to be done under MERC MYT Regulations 2015 with reference to amounts approved in the MYT Order for FY 2020-21 to FY 2024-25</t>
  </si>
  <si>
    <t xml:space="preserve">&lt;Name of the Generation Business/Company&gt;
MTR Petition Formats - Generation
Form 7:  Base Return on Regulatory Equity </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</si>
  <si>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</si>
  <si>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</si>
  <si>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</si>
  <si>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</si>
  <si>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</si>
  <si>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</si>
  <si>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</si>
  <si>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</si>
  <si>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</si>
  <si>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</si>
  <si>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</si>
  <si>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</si>
  <si>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</si>
  <si>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</si>
  <si>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</si>
  <si>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</si>
  <si>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</si>
  <si>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t>FY 2020-21 Approved</t>
  </si>
  <si>
    <t>FY 2020-21 Actual</t>
  </si>
  <si>
    <r>
      <rPr>
        <b/>
        <sz val="11"/>
        <rFont val="Times New Roman"/>
        <family val="1"/>
      </rPr>
      <t>Note</t>
    </r>
    <r>
      <rPr>
        <sz val="11"/>
        <rFont val="Times New Roman"/>
        <family val="1"/>
      </rPr>
      <t>: 1. Generating Company shall provide justification for variation between approved and actual fuel utilisation plan</t>
    </r>
  </si>
  <si>
    <t>FY 2021-22 Approved</t>
  </si>
  <si>
    <t>FY 2021-22 Actual</t>
  </si>
  <si>
    <t>FY 2022-23 Approved</t>
  </si>
  <si>
    <t>FY 2022-23 Actual (Apr- Sep)</t>
  </si>
  <si>
    <t>FY 2022-23 Estimated</t>
  </si>
  <si>
    <t>FY 2023-24 Revised Projected</t>
  </si>
  <si>
    <t>FY 2024-25 Revised Projected</t>
  </si>
  <si>
    <t>Scheduled PLF during the month (%)</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</si>
  <si>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</si>
  <si>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</si>
  <si>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</si>
  <si>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</si>
  <si>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</si>
  <si>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</si>
  <si>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</si>
  <si>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</si>
  <si>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</si>
  <si>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</si>
  <si>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</si>
  <si>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</si>
  <si>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</si>
  <si>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</si>
  <si>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</si>
  <si>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2.3.4</t>
  </si>
  <si>
    <t>2.4.34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</si>
  <si>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</si>
  <si>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</si>
  <si>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</si>
  <si>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</si>
  <si>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</si>
  <si>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</si>
  <si>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</si>
  <si>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</si>
  <si>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</si>
  <si>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</si>
  <si>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</si>
  <si>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</si>
  <si>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</si>
  <si>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</si>
  <si>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</si>
  <si>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</si>
  <si>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</si>
  <si>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</si>
  <si>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</si>
  <si>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c=b-a</t>
  </si>
  <si>
    <t>d=b-a</t>
  </si>
  <si>
    <t>Pay Revision Impact</t>
  </si>
  <si>
    <t xml:space="preserve">      Maharashtra State Power Generation Company Ltd.</t>
  </si>
  <si>
    <t>Tax Rate</t>
  </si>
  <si>
    <t>MSEDCL</t>
  </si>
  <si>
    <t>Coal - Raw Coal</t>
  </si>
  <si>
    <t>Transporation</t>
  </si>
  <si>
    <t>Freight /Freight Surcharge, if applicable</t>
  </si>
  <si>
    <t>Coal Handling Charges</t>
  </si>
  <si>
    <t>Duties SED</t>
  </si>
  <si>
    <t>Royalty Charges</t>
  </si>
  <si>
    <t>Others STC</t>
  </si>
  <si>
    <t>Others-Energy Clean Charges</t>
  </si>
  <si>
    <t>Others-ED</t>
  </si>
  <si>
    <t>Other Charges</t>
  </si>
  <si>
    <t>Coal - Imported  Coal</t>
  </si>
  <si>
    <t>Base Price</t>
  </si>
  <si>
    <t>Transportation</t>
  </si>
  <si>
    <t>Local Transportation</t>
  </si>
  <si>
    <t>Taxes</t>
  </si>
  <si>
    <t>Total Imported Coal</t>
  </si>
  <si>
    <t>Oil - LDO</t>
  </si>
  <si>
    <t>Total LDO</t>
  </si>
  <si>
    <t>Oil - FO</t>
  </si>
  <si>
    <t>Total FO</t>
  </si>
  <si>
    <t>Rs./KL</t>
  </si>
  <si>
    <t>D</t>
  </si>
  <si>
    <t xml:space="preserve">(g) </t>
  </si>
  <si>
    <t>April-March      (Projected )</t>
  </si>
  <si>
    <t xml:space="preserve">(h) </t>
  </si>
  <si>
    <t>April-March 
(Audited )</t>
  </si>
  <si>
    <t>Actual Gross Generation (MU)</t>
  </si>
  <si>
    <t>NOT APPLICABLE</t>
  </si>
  <si>
    <t>Efficiency (Gain)/loss</t>
  </si>
  <si>
    <t>Sharing of Efficiency (Gain)/loss</t>
  </si>
  <si>
    <t>C) Existing Actual Long-term Loans (Station Specific)</t>
  </si>
  <si>
    <t>D ) Actual Loans drawn during the year</t>
  </si>
  <si>
    <t>Rental from contractors &amp; staff Quarters</t>
  </si>
  <si>
    <t>Other Misc Income (Delayed payment charges, Interest on advances to suppliers, Land charges fm Contractors &amp; others, Sale of Tender forms, Registration fees, Ground rent on material lying in stores, Recruitment- exam fees, Income from Services, Miscellaneous receipts)</t>
  </si>
  <si>
    <t>Income on Energy saving certificate tra</t>
  </si>
  <si>
    <t>Income of LD recovery</t>
  </si>
  <si>
    <t>Gain/Loss on sale of Fixed Assets</t>
  </si>
  <si>
    <t>Profit / Loss on Exchange variance</t>
  </si>
  <si>
    <t>HO/SE Coal/WM</t>
  </si>
  <si>
    <t>Allowances</t>
  </si>
  <si>
    <t>Other Employee Benefits</t>
  </si>
  <si>
    <t>Allocation : HO/SE Coal/WM</t>
  </si>
  <si>
    <t>Rent</t>
  </si>
  <si>
    <t>Other Gen expenses-Security</t>
  </si>
  <si>
    <t>Group 79 and its allocation</t>
  </si>
  <si>
    <t>Rescheduling charges</t>
  </si>
  <si>
    <t>Civil/Hydraulic, building</t>
  </si>
  <si>
    <t>Pollution control Exp</t>
  </si>
  <si>
    <t>Land &amp; Rights</t>
  </si>
  <si>
    <t>Cooling Towers and Circulating Water Systems</t>
  </si>
  <si>
    <t>Hydraulic works</t>
  </si>
  <si>
    <t>Other &amp; Civil work</t>
  </si>
  <si>
    <t>Batteries</t>
  </si>
  <si>
    <t>Air Conditioning</t>
  </si>
  <si>
    <t>Lines &amp; cable Network</t>
  </si>
  <si>
    <t>Intangibles</t>
  </si>
  <si>
    <t>Variable Charges Amount (Mine Specific)</t>
  </si>
  <si>
    <t>Supplementary bill (Prov.True-up FY 19-20)</t>
  </si>
  <si>
    <t>Total Charges Rs.Crore</t>
  </si>
  <si>
    <t>Balance useful life</t>
  </si>
  <si>
    <t>Lease Rent</t>
  </si>
  <si>
    <t xml:space="preserve">HO Deprciation </t>
  </si>
  <si>
    <t>Communication Equipments</t>
  </si>
  <si>
    <t>I.T. Equipment</t>
  </si>
  <si>
    <t>Software</t>
  </si>
  <si>
    <t>RIGHT TO USE OF KGSC LEASE ASSET STAGE I &amp; II</t>
  </si>
  <si>
    <t>Monthly AFC as per actual PAFM</t>
  </si>
  <si>
    <t>Reactive Power</t>
  </si>
  <si>
    <t>Under Recovery AFC due to Actual PAFM less than Approved PAFM</t>
  </si>
  <si>
    <t>Operation &amp; Maintenance Expenses - Normative</t>
  </si>
  <si>
    <t>Add : Pay revision</t>
  </si>
  <si>
    <t>Add : water charges</t>
  </si>
  <si>
    <t>Revenue loss/(gain) due to higher auxiliary consumption</t>
  </si>
  <si>
    <t>Revenue for True Up</t>
  </si>
  <si>
    <t>Total Employee Expense incl. Pay Revision arrears</t>
  </si>
  <si>
    <t>Depreciation Expenses and HO Dep</t>
  </si>
  <si>
    <t>1. AVR is obsolete
2. Spares are not available.
3. Advanced Technology</t>
  </si>
  <si>
    <t>1. To Provoide healty envoirnment in Colony
2.Better appearance in colony premises
3. To increase life of buildings</t>
  </si>
  <si>
    <t>1. For Safe and economical Transportstion
2. To prevent accidents and ensure safety</t>
  </si>
  <si>
    <t>1. To provide clesr &amp; potable drinking water
2. To avoid water loss due to lekages</t>
  </si>
  <si>
    <t>1. To avoid encronchment &amp; security of residaence</t>
  </si>
  <si>
    <t>1. Improvement in performance of Governor
2. Reduce forced outages</t>
  </si>
  <si>
    <t>1. Spares / Services providers are not available.
2. Replacement of existing one</t>
  </si>
  <si>
    <t>1. Life is expected to over.
2. Replacement of existing one</t>
  </si>
  <si>
    <t>DPR</t>
  </si>
  <si>
    <t>Not Initiated</t>
  </si>
  <si>
    <t>Scheme</t>
  </si>
  <si>
    <t>WIP</t>
  </si>
  <si>
    <t>Partially Capitalized</t>
  </si>
  <si>
    <t>Date of Submission</t>
  </si>
  <si>
    <t xml:space="preserve">Cost as per DPR  Crs. </t>
  </si>
  <si>
    <t>Old Asset retired against capitalised item (in Rs. Cr)</t>
  </si>
  <si>
    <t>Current Status</t>
  </si>
  <si>
    <t>Non-DPR</t>
  </si>
  <si>
    <t>Capitalised</t>
  </si>
  <si>
    <t>Cancelled</t>
  </si>
  <si>
    <t>To be cancelled</t>
  </si>
  <si>
    <t>N.A.</t>
  </si>
  <si>
    <t>A) DPR Schemes</t>
  </si>
  <si>
    <t>To be confirmed</t>
  </si>
  <si>
    <t>(i) Submitted to MERC</t>
  </si>
  <si>
    <t>Various schemes of Hydro Power Stations at HPC Pune &amp; HPC Nasik</t>
  </si>
  <si>
    <t>MERC/TECH 12/CAPEX/20142015/00876</t>
  </si>
  <si>
    <t>-</t>
  </si>
  <si>
    <t>Various Civil schemes for Modernisations of colonies at Various Locations under Pune HPC</t>
  </si>
  <si>
    <t>MERC/CAPEX/20162017/01745</t>
  </si>
  <si>
    <t>Refurbishing of Residential complex</t>
  </si>
  <si>
    <t>Internal Roads</t>
  </si>
  <si>
    <t>Water supply, filteration &amp;  Sanitary works</t>
  </si>
  <si>
    <t>Compound walls</t>
  </si>
  <si>
    <t>Various 14 Nos. of schemes for Hydro Power Stations under Renewable Energy Circle, Pune &amp; Nasik</t>
  </si>
  <si>
    <t>MERC/CAPEX/2020-21/WFH/SBR/ 19</t>
  </si>
  <si>
    <t>Schme-C :Replacement of existing Energy meters by 0.2S Class Energy meters at various HPS.</t>
  </si>
  <si>
    <t>Schme-D: Providing Oil Filtration Machines for all Divisions of REC, Pune</t>
  </si>
  <si>
    <t>Various 6 Nos. Schemes for Hydro Power Stations under Renewable Energy Circle, Pune</t>
  </si>
  <si>
    <t>MERC/CAPEX/2020-2021/WFH/ SBR/22</t>
  </si>
  <si>
    <t>Replacement of existing Air Compressors at Bhira, Tilari, Pawana and Ujjani Hydro Power Stations under REC, Pune</t>
  </si>
  <si>
    <t>Replacement of 220 V, 400/300 AH Battery set with Tubular type Battery Banks at Bhira, Tilari, Kanher, Dimbhe and Ujani Hydro Power Stations.</t>
  </si>
  <si>
    <t>(ii) Yet to be submitted to MERC</t>
  </si>
  <si>
    <t>B) Non-DPR Schemes</t>
  </si>
  <si>
    <t>Furniture &amp; Fixture General Asset</t>
  </si>
  <si>
    <t>Electrical General Asset</t>
  </si>
  <si>
    <t>Electronics General Asset</t>
  </si>
  <si>
    <t>Capitalization</t>
  </si>
  <si>
    <t>To be approved</t>
  </si>
  <si>
    <t>Actual IoWC Paid</t>
  </si>
  <si>
    <t>Pay Revisiosn Impact (already considered in employee cost)</t>
  </si>
  <si>
    <t>Add : Pay Revision Component</t>
  </si>
  <si>
    <t>FY 2025-26</t>
  </si>
  <si>
    <t>FY 2026-27</t>
  </si>
  <si>
    <t>FY 2028-29</t>
  </si>
  <si>
    <t>Projection</t>
  </si>
  <si>
    <t>FY 2029-30</t>
  </si>
  <si>
    <t>FY 2027-28</t>
  </si>
  <si>
    <t>A) FY 2022-23, FY 2023-24 &amp; FY 2024-25</t>
  </si>
  <si>
    <t>B) Fifth Control Period</t>
  </si>
  <si>
    <t>(c) = (b) - (c)</t>
  </si>
  <si>
    <t>(k) = (i) - (g)</t>
  </si>
  <si>
    <t xml:space="preserve">(b) </t>
  </si>
  <si>
    <t>(e)=(c)+(d)</t>
  </si>
  <si>
    <t xml:space="preserve">(f) </t>
  </si>
  <si>
    <t xml:space="preserve">(i) </t>
  </si>
  <si>
    <t xml:space="preserve">(j) </t>
  </si>
  <si>
    <t>(ad)</t>
  </si>
  <si>
    <t>(ae)</t>
  </si>
  <si>
    <t>(af)</t>
  </si>
  <si>
    <t>(ag)</t>
  </si>
  <si>
    <t>(ah) = (ad)+(ae)-(af)-(ag)</t>
  </si>
  <si>
    <t>(ai)</t>
  </si>
  <si>
    <t>(aj)</t>
  </si>
  <si>
    <t>(ak)</t>
  </si>
  <si>
    <t>(al)</t>
  </si>
  <si>
    <t>(am) = (ai)+(aj)-(ak)-(al)</t>
  </si>
  <si>
    <t>Year: FY 2023-24</t>
  </si>
  <si>
    <t>Year: FY 2024-25</t>
  </si>
  <si>
    <t>Ensuing Year FY 2025-26</t>
  </si>
  <si>
    <t>Ensuing Year FY 2026-27</t>
  </si>
  <si>
    <t xml:space="preserve"> Projected</t>
  </si>
  <si>
    <t>Year: 2022-23</t>
  </si>
  <si>
    <t>Year: 2023-24</t>
  </si>
  <si>
    <t>FY 2024-25 Estimated</t>
  </si>
  <si>
    <t>FY 2026-27 Projected</t>
  </si>
  <si>
    <t>FY 2025-26 Projected</t>
  </si>
  <si>
    <t>FY 2027-28 Projected</t>
  </si>
  <si>
    <t>FY 2028-29 Projected</t>
  </si>
  <si>
    <t>FY 2029-30 Projected</t>
  </si>
  <si>
    <t>Year : FY 2022-23</t>
  </si>
  <si>
    <t>Year : FY 2023-24</t>
  </si>
  <si>
    <t>MTR order</t>
  </si>
  <si>
    <t xml:space="preserve"> Normative</t>
  </si>
  <si>
    <t>MTR Order</t>
  </si>
  <si>
    <t xml:space="preserve">Income of LD recovery-Reduced from R&amp; M </t>
  </si>
  <si>
    <t xml:space="preserve">Material Variance cost - O &amp; M                    </t>
  </si>
  <si>
    <t>Commission to agents</t>
  </si>
  <si>
    <t>Consumption Lubricants &amp; consumables</t>
  </si>
  <si>
    <t>Consumption Lubricants &amp; consumables-Fi</t>
  </si>
  <si>
    <t>Payments to railway staff-Fixed</t>
  </si>
  <si>
    <t>Commission to agents-Fixed</t>
  </si>
  <si>
    <t>Dep Rate for FY 22-23</t>
  </si>
  <si>
    <t xml:space="preserve">Revenue from SOP to Colony and others </t>
  </si>
  <si>
    <t>Lease Rentals</t>
  </si>
  <si>
    <t>MTR Order*</t>
  </si>
  <si>
    <t>Hydro Colony related other expenses</t>
  </si>
  <si>
    <t>Mean Time Between Failure (MTBF)**</t>
  </si>
  <si>
    <t>Days</t>
  </si>
  <si>
    <t>Operating under FGMO or RGMO**</t>
  </si>
  <si>
    <t>Form 5.1 (N): Assets &amp; Depreciation - New Schemes  (not covered under Existing Assets)</t>
  </si>
  <si>
    <t>(q) = (m)+(n)-(o)-(p)</t>
  </si>
  <si>
    <t>(u)=(q)+(r)</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</si>
  <si>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</si>
  <si>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</si>
  <si>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</si>
  <si>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</si>
  <si>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</si>
  <si>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</si>
  <si>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</si>
  <si>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</si>
  <si>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</si>
  <si>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</si>
  <si>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</si>
  <si>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</si>
  <si>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</si>
  <si>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</si>
  <si>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</si>
  <si>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</si>
  <si>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</si>
  <si>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</si>
  <si>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</si>
  <si>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</si>
  <si>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</si>
  <si>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</si>
  <si>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</si>
  <si>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</si>
  <si>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</si>
  <si>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</si>
  <si>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</si>
  <si>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</si>
  <si>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</si>
  <si>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</si>
  <si>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</si>
  <si>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</si>
  <si>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</si>
  <si>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</si>
  <si>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</si>
  <si>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</si>
  <si>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</si>
  <si>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</si>
  <si>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</si>
  <si>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</si>
  <si>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</si>
  <si>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</si>
  <si>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14.9: Drawdown Schedule and Computation of IDC and Financing Charges</t>
  </si>
  <si>
    <t>Sl. No.</t>
  </si>
  <si>
    <t>Financial Year</t>
  </si>
  <si>
    <t>Year 1</t>
  </si>
  <si>
    <t>Year 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</si>
  <si>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</si>
  <si>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</si>
  <si>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</si>
  <si>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</si>
  <si>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</si>
  <si>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</si>
  <si>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</si>
  <si>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</si>
  <si>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</si>
  <si>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</si>
  <si>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</si>
  <si>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</si>
  <si>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</si>
  <si>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</si>
  <si>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</si>
  <si>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Form 14.8: Financing Additional Capitalisation</t>
  </si>
  <si>
    <t>Financial Year (Starting from COD)</t>
  </si>
  <si>
    <t>Amount capitalised</t>
  </si>
  <si>
    <t>Financing Details</t>
  </si>
  <si>
    <t>Component 1</t>
  </si>
  <si>
    <t>Component 2</t>
  </si>
  <si>
    <t>… … …</t>
  </si>
  <si>
    <t>Total Loan</t>
  </si>
  <si>
    <t>Equity</t>
  </si>
  <si>
    <t>Internal Resources</t>
  </si>
  <si>
    <t>Others (Pls provide details)</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</si>
  <si>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</si>
  <si>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</si>
  <si>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</si>
  <si>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</si>
  <si>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</si>
  <si>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</si>
  <si>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</si>
  <si>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</si>
  <si>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</si>
  <si>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</si>
  <si>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14.6 : Details of Loans</t>
  </si>
  <si>
    <t>Source of Loan/Name of Agency</t>
  </si>
  <si>
    <t>Currency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</si>
  <si>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</si>
  <si>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</si>
  <si>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</si>
  <si>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</si>
  <si>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</si>
  <si>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</si>
  <si>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</si>
  <si>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</si>
  <si>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</si>
  <si>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</si>
  <si>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</si>
  <si>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</si>
  <si>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</si>
  <si>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</si>
  <si>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</si>
  <si>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</si>
  <si>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</si>
  <si>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</si>
  <si>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</si>
  <si>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</si>
  <si>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</si>
  <si>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</si>
  <si>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</si>
  <si>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</si>
  <si>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</si>
  <si>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</si>
  <si>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</si>
  <si>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</si>
  <si>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</si>
  <si>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</si>
  <si>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</si>
  <si>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</si>
  <si>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</si>
  <si>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</si>
  <si>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</si>
  <si>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</si>
  <si>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</si>
  <si>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</si>
  <si>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</si>
  <si>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</si>
  <si>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</si>
  <si>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</si>
  <si>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</si>
  <si>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</si>
  <si>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</si>
  <si>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</si>
  <si>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14.4 : Break up of Construction / Supply / Services /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</si>
  <si>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</si>
  <si>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</si>
  <si>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</si>
  <si>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</si>
  <si>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</si>
  <si>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</si>
  <si>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</si>
  <si>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</si>
  <si>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</si>
  <si>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</si>
  <si>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</si>
  <si>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</si>
  <si>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</si>
  <si>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</si>
  <si>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</si>
  <si>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</si>
  <si>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</si>
  <si>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</si>
  <si>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</si>
  <si>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</si>
  <si>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</si>
  <si>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</si>
  <si>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</si>
  <si>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</si>
  <si>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</si>
  <si>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</si>
  <si>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</si>
  <si>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</si>
  <si>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</si>
  <si>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</si>
  <si>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</si>
  <si>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</si>
  <si>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</si>
  <si>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</si>
  <si>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</si>
  <si>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</si>
  <si>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</si>
  <si>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</si>
  <si>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</si>
  <si>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</si>
  <si>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</si>
  <si>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</si>
  <si>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2.1.5</t>
  </si>
  <si>
    <t>SG Controls</t>
  </si>
  <si>
    <t>2.1.6</t>
  </si>
  <si>
    <t>Ceraline Bends</t>
  </si>
  <si>
    <t>2.1.7</t>
  </si>
  <si>
    <t>HVR with EC</t>
  </si>
  <si>
    <t>2.1.8</t>
  </si>
  <si>
    <t>Critical Piping</t>
  </si>
  <si>
    <t>Turbine Generator Island</t>
  </si>
  <si>
    <t>TG and Auxiliaries</t>
  </si>
  <si>
    <t>Power Cycle Pumps,LP Heaters 2&amp; 3,Drain Cooler,HP Heaters,Deaearators</t>
  </si>
  <si>
    <t>TG HT Motors,ACWP Motors</t>
  </si>
  <si>
    <t>TG Controls</t>
  </si>
  <si>
    <t>2.2.5</t>
  </si>
  <si>
    <t>RE Joints &amp; Butterfly Valves,Misc.Tanks,Condensor&amp; Heat Exchanger</t>
  </si>
  <si>
    <t>2.2.6</t>
  </si>
  <si>
    <t>Valves</t>
  </si>
  <si>
    <t>2.2.7</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</si>
  <si>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</si>
  <si>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</si>
  <si>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</si>
  <si>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</si>
  <si>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</si>
  <si>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</si>
  <si>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</si>
  <si>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</si>
  <si>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</si>
  <si>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</si>
  <si>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</si>
  <si>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</si>
  <si>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</si>
  <si>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</si>
  <si>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</si>
  <si>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</si>
  <si>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</si>
  <si>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</si>
  <si>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</si>
  <si>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</si>
  <si>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</si>
  <si>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</si>
  <si>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Water Treatment Plant</t>
  </si>
  <si>
    <t>Fire Protection Alarm &amp; Detection System</t>
  </si>
  <si>
    <t>Fuel Oil System</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</si>
  <si>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</si>
  <si>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</si>
  <si>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</si>
  <si>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</si>
  <si>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</si>
  <si>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</si>
  <si>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</si>
  <si>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</si>
  <si>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</si>
  <si>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</si>
  <si>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</si>
  <si>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</si>
  <si>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</si>
  <si>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</si>
  <si>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</si>
  <si>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</si>
  <si>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</si>
  <si>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</si>
  <si>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</si>
  <si>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</si>
  <si>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</si>
  <si>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</si>
  <si>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</si>
  <si>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</si>
  <si>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</si>
  <si>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</si>
  <si>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</si>
  <si>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</si>
  <si>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</si>
  <si>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</si>
  <si>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</si>
  <si>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</si>
  <si>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</si>
  <si>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</si>
  <si>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</si>
  <si>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</si>
  <si>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</si>
  <si>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</si>
  <si>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</si>
  <si>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</si>
  <si>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</si>
  <si>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</si>
  <si>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</si>
  <si>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</si>
  <si>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</si>
  <si>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</si>
  <si>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</si>
  <si>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</si>
  <si>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</si>
  <si>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</si>
  <si>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</si>
  <si>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</si>
  <si>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</si>
  <si>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</si>
  <si>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</si>
  <si>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</si>
  <si>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</si>
  <si>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</si>
  <si>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</si>
  <si>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</si>
  <si>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Power Transformer</t>
  </si>
  <si>
    <t>Service Transformer</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</si>
  <si>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</si>
  <si>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</si>
  <si>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</si>
  <si>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</si>
  <si>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</si>
  <si>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</si>
  <si>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</si>
  <si>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</si>
  <si>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</si>
  <si>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</si>
  <si>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</si>
  <si>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</si>
  <si>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</si>
  <si>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</si>
  <si>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</si>
  <si>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</si>
  <si>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</si>
  <si>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</si>
  <si>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</si>
  <si>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</si>
  <si>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</si>
  <si>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</si>
  <si>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</si>
  <si>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</si>
  <si>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</si>
  <si>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</si>
  <si>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</si>
  <si>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</si>
  <si>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</si>
  <si>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</si>
  <si>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</si>
  <si>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</si>
  <si>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</si>
  <si>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</si>
  <si>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</si>
  <si>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</si>
  <si>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</si>
  <si>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</si>
  <si>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</si>
  <si>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</si>
  <si>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</si>
  <si>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</si>
  <si>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</si>
  <si>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</si>
  <si>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</si>
  <si>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</si>
  <si>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</si>
  <si>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</si>
  <si>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</si>
  <si>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</si>
  <si>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</si>
  <si>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</si>
  <si>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</si>
  <si>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</si>
  <si>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</si>
  <si>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</si>
  <si>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</si>
  <si>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</si>
  <si>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</si>
  <si>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</si>
  <si>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</si>
  <si>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</si>
  <si>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</si>
  <si>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</si>
  <si>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</si>
  <si>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</si>
  <si>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</si>
  <si>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</si>
  <si>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</si>
  <si>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</si>
  <si>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</si>
  <si>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</si>
  <si>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</si>
  <si>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</si>
  <si>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</si>
  <si>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</si>
  <si>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</si>
  <si>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</si>
  <si>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14.2 - Abstract of Capital Cost</t>
  </si>
  <si>
    <t>Capital Cost as per Original Estimates*</t>
  </si>
  <si>
    <t>Actual Capital Cost on COD (Unit-1)</t>
  </si>
  <si>
    <t>Actual Capital Cost on COD (Unit-2)</t>
  </si>
  <si>
    <t>Actual Capital Cost on COD of Station or all Units</t>
  </si>
  <si>
    <t>Capital Cost excluding IDC &amp; Financing Charges</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</si>
  <si>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</si>
  <si>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</si>
  <si>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</si>
  <si>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</si>
  <si>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</si>
  <si>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MYT Petition Formats for SHP Hydro</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</si>
  <si>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</si>
  <si>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</si>
  <si>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</si>
  <si>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</si>
  <si>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</si>
  <si>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</si>
  <si>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</si>
  <si>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</si>
  <si>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</si>
  <si>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</si>
  <si>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</si>
  <si>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</si>
  <si>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</si>
  <si>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</si>
  <si>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</si>
  <si>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</si>
  <si>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</si>
  <si>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</si>
  <si>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</si>
  <si>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</si>
  <si>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</si>
  <si>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</si>
  <si>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</si>
  <si>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</si>
  <si>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</si>
  <si>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</si>
  <si>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</si>
  <si>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</si>
  <si>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</si>
  <si>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</si>
  <si>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</si>
  <si>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</si>
  <si>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</si>
  <si>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</si>
  <si>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</si>
  <si>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(ac)</t>
  </si>
  <si>
    <t>(ag) = (ac)+(ad)-(ae)-(af)</t>
  </si>
  <si>
    <t>Dep rate</t>
  </si>
  <si>
    <t>Esc Rate</t>
  </si>
  <si>
    <t>Ensuing Years</t>
  </si>
  <si>
    <t>Normative</t>
  </si>
  <si>
    <t>Admin building Rent (Treatment is different as per IND AS)</t>
  </si>
  <si>
    <t>Hydro Incentive</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</si>
  <si>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</si>
  <si>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</si>
  <si>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</si>
  <si>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</si>
  <si>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</si>
  <si>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</si>
  <si>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</si>
  <si>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</si>
  <si>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</si>
  <si>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</si>
  <si>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</si>
  <si>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</si>
  <si>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</si>
  <si>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</si>
  <si>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</si>
  <si>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</si>
  <si>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</si>
  <si>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</si>
  <si>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</si>
  <si>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</si>
  <si>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</si>
  <si>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</si>
  <si>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</si>
  <si>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</si>
  <si>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</si>
  <si>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</si>
  <si>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Fuel Related Expenses - ECS</t>
  </si>
  <si>
    <t>Interest on Working Capital - ECS</t>
  </si>
  <si>
    <t>Interest on Loan Capital - HO Assets</t>
  </si>
  <si>
    <t>Add: Return on Equity Capital - HO Assets</t>
  </si>
  <si>
    <t>MSEDCL - H1</t>
  </si>
  <si>
    <t>MSEDCL - H2</t>
  </si>
  <si>
    <t>Ensuing Year FY 2027-28</t>
  </si>
  <si>
    <t>Ensuing Year FY 2028-29</t>
  </si>
  <si>
    <t>Ensuing Year FY 2029-30</t>
  </si>
  <si>
    <t>Annual Special Allowance - Hydro Stations</t>
  </si>
  <si>
    <t>Hydro - Annual lease rent + maint charges+ Threshold premium+ cost for 13% free power</t>
  </si>
  <si>
    <t xml:space="preserve"> * - In case MTR Order is yet to be issued, then MYT Order values to be captured under this column</t>
  </si>
  <si>
    <t>Note ** - Generation Company shall submit the certificate of the MSLDC at a time of true up.</t>
  </si>
  <si>
    <t xml:space="preserve">* As approved in MTR Order; in case MTR Order is not issued, then MYT Order values to be considered </t>
  </si>
  <si>
    <t>Note: * In case MTR Order is yet to be issued, MYT Order values are to be entered here</t>
  </si>
  <si>
    <r>
      <rPr>
        <b/>
        <sz val="11"/>
        <rFont val="Times New Roman"/>
        <family val="1"/>
      </rPr>
      <t>Note</t>
    </r>
    <r>
      <rPr>
        <sz val="11"/>
        <rFont val="Times New Roman"/>
        <family val="1"/>
      </rPr>
      <t>: * - In case MTR Order is yet to be issued, then MYT Order values to be captured under this column</t>
    </r>
  </si>
  <si>
    <t>(c )</t>
  </si>
  <si>
    <t>(d) = (c) - (b)</t>
  </si>
  <si>
    <t>(h) = (g) - (f)</t>
  </si>
  <si>
    <t>(m) = (k)+(l)</t>
  </si>
  <si>
    <t>(n) = (m) - (j)</t>
  </si>
  <si>
    <t>1. Existing Protection is obsolete/outdated.
2. Spares are not available.
3. Replacement by Advanced Technology
4. Electrical Protection Committee suggessions</t>
  </si>
  <si>
    <t>1. Repaired blades are in service which is not reliable.
2. Spare blades are not available.</t>
  </si>
  <si>
    <t>1. Existing A/C system is obsolete
2. Spares are not available.
3. Replacement by Advanced Technology</t>
  </si>
  <si>
    <t>1. More accurate Energy Accounting 
2. Avoid forced outages
3. Replacement by Advanced Technology</t>
  </si>
  <si>
    <t>1. Breakers are obsolete
2. Spares are not available
3. Replacement by Advanced Technology</t>
  </si>
  <si>
    <t>Augst-18</t>
  </si>
  <si>
    <t>1. For convenience of Staff visiting Dimbhe HPS for  Office Work</t>
  </si>
  <si>
    <t>6+6+6+6+6+6+</t>
  </si>
  <si>
    <t>Numerical protection system at Pawana Hydro Power Station</t>
  </si>
  <si>
    <t>Vehicle General Asset</t>
  </si>
  <si>
    <t>Essential for General Administration</t>
  </si>
  <si>
    <t xml:space="preserve">1. Reduced size and Compact.
2. Improves the reliability 
3. Avoid unwanted tripping of units.
4. New technology Breakers
</t>
  </si>
  <si>
    <t>Retrofitting of 415 V LT Breakers at Kanher &amp; Dhom HPS.</t>
  </si>
  <si>
    <t>1.  Advanced control algorithm using PID control with feed forward 
2.  High Availability &amp; Reliability
3. Availability of Spares.
4. Replacement by Advanced Technology</t>
  </si>
  <si>
    <t>Replacement of existing AVR by DAVR for Static Excitation System at Pawana HPS.</t>
  </si>
  <si>
    <t xml:space="preserve">1. Battery voltage &amp; protection system accuracy is improved.
2. Maintenance cost will be reduced. 
3. Breakdown and plant tripping event also reduced.
</t>
  </si>
  <si>
    <t>Replacement of 220V/300 AH Tubular type Battery Set at Manikdoh HPS</t>
  </si>
  <si>
    <t>Gen. transformers for Dudhganga, Warana, Ujjani, Panshet, Varasgaon &amp; Pawana HPS</t>
  </si>
  <si>
    <t>DPR-8</t>
  </si>
  <si>
    <t>R &amp; M of Bhatghar HPS</t>
  </si>
  <si>
    <t>Digital Governor, Excitation (DAVR) with Auto sequencer at Dhom HPS</t>
  </si>
  <si>
    <t>Supply of station battery sets at Panshet, Varasgaon, Pawana, Dhom, Terwanmedhe</t>
  </si>
  <si>
    <t>Digital Governor, Excitation (DAVR) with Auto sequencer at Ujjani HPS</t>
  </si>
  <si>
    <t>Synchronising &amp; Line Breakers at HPS under REC, Pune</t>
  </si>
  <si>
    <t>DPR-6</t>
  </si>
  <si>
    <t>Upgradation of Protection system for Generator and Generator transformer at bhatghar,Dudhganga,Ujani,Warana,Kanher &amp; Dhom</t>
  </si>
  <si>
    <t>Supply, erection &amp; commissioning of Digital Governor Pawana &amp; Varasgaon HPS</t>
  </si>
  <si>
    <t>Supply,erection &amp; commissioningof Governor, Excitation System (DAVR) and Autosequencer for Manikdoh, Kanher &amp; Dimbhe HPS.</t>
  </si>
  <si>
    <t xml:space="preserve">Supply, erection &amp; commissioning of Digital Governor, Excitation system (DAVR) at Warana &amp; Dudhganga HPS </t>
  </si>
  <si>
    <t>Supply, erection &amp; commissioning of Digital Governor and DAVR for Panshet HPS under REC, Pune</t>
  </si>
  <si>
    <t>DPR-5</t>
  </si>
  <si>
    <t xml:space="preserve">Fortification near Panshet hydro power station for arresting rock falling on HPS Building at panshet . </t>
  </si>
  <si>
    <t>For HPS Safety</t>
  </si>
  <si>
    <t xml:space="preserve">Not approved </t>
  </si>
  <si>
    <t>Replacement of existing Protection Systems with Numerical Protection system at Bhira, Panshet, Varasgaon, Dimbhe &amp; Manikdoh HPS.</t>
  </si>
  <si>
    <t>Supply, installation and commissioning of Kaplan Turbine Runner Blades from BHEL (OEM) for Dudhganga U#1.</t>
  </si>
  <si>
    <t>Replacement of existing Air conditioners of Plant Control Rooms at Ujjani, Warna, Kanher, Dhom, Dimbhe &amp; Dudhganga
HPS.</t>
  </si>
  <si>
    <t>Schme-A: Retrofitting of 12 KV Breakers at Ujjani Hydro Power Station</t>
  </si>
  <si>
    <t>1. To Provoide healty envoirnment in Colony
2. Better appearance in colony premises
3. To increase life of buildings</t>
  </si>
  <si>
    <t>For convenience of Staff visiting Dimbhe HPS for  Office Work</t>
  </si>
  <si>
    <t xml:space="preserve"> Construction of Resthouse at Dimbhe HPS</t>
  </si>
  <si>
    <t>Replacement of existing AVR by SEE DVR system for Varasgaon Hydro Power Station.</t>
  </si>
  <si>
    <t>FY2029-30</t>
  </si>
  <si>
    <t>FY2028-29</t>
  </si>
  <si>
    <t>FY2027-28</t>
  </si>
  <si>
    <t>FY2026-27</t>
  </si>
  <si>
    <t>FY2025-26</t>
  </si>
  <si>
    <t xml:space="preserve"> Revised Projected </t>
  </si>
  <si>
    <t xml:space="preserve"> Actual </t>
  </si>
  <si>
    <t>Actual Capitalization till FY 2021-22</t>
  </si>
  <si>
    <t>Actual Capex till FY 2021-22</t>
  </si>
  <si>
    <t>Probable Disallowance</t>
  </si>
  <si>
    <t>Allowable Capitalisation</t>
  </si>
  <si>
    <t>Vehicle (Fire Tender )</t>
  </si>
  <si>
    <t xml:space="preserve">Replacement of existing 300AH/220VDC &amp; 200AH/220VDC Battery Set with new Lead acid Tubular Battery Set along with Design, manufacture, supply, installation, commissioning &amp; testing at Yeldari &amp; Paithan HPS </t>
  </si>
  <si>
    <t>DPR Yet to be submitted</t>
  </si>
  <si>
    <t xml:space="preserve">New Generator with higher class insulation will increase life of genrator and will generate power continuously. </t>
  </si>
  <si>
    <t xml:space="preserve">Comprehensive work of Renovation, Modification, Design, Manufacture, Supply, Erection, Testing &amp; Commissioning of new Generator  on single point responsibility at 60 MW Vaitarna HPS.                          </t>
  </si>
  <si>
    <t>DPR 8</t>
  </si>
  <si>
    <t>Shall increase availability, improve system performance</t>
  </si>
  <si>
    <t xml:space="preserve"> PROCUREMENT OF RBDV at Ghatghar HPS</t>
  </si>
  <si>
    <t xml:space="preserve"> PROCUREMENT OF SPARES FOR 220kV GIS at Ghatghar HPS</t>
  </si>
  <si>
    <t xml:space="preserve"> PHASE REVERSAL SWITCH PROCUREMENT at Ghatghar HPS</t>
  </si>
  <si>
    <t>BATTERY CHARGER PROCUREMENT at Ghatghar HPS</t>
  </si>
  <si>
    <t>UPGRADATION OF SFC &amp; DDC PANEL at Ghatghar HPS</t>
  </si>
  <si>
    <t>DPR 7</t>
  </si>
  <si>
    <t>(ii) Yet to be submitted to MERC(F Y 2027-28)</t>
  </si>
  <si>
    <t>Improve safety, health &amp; avoid accidents of employees travelling to Power house, office etc.</t>
  </si>
  <si>
    <t xml:space="preserve"> Road colony to power house at Ghatghar HPS</t>
  </si>
  <si>
    <t>Colony and office Road asphalting at Ghatghar HPS</t>
  </si>
  <si>
    <t>Improve safety of colony and avoid theft incident.</t>
  </si>
  <si>
    <t>Wall compound colony UCR at Ghatghar HPS</t>
  </si>
  <si>
    <t>Improve safety of colony and package shed.</t>
  </si>
  <si>
    <t>Wall compound Rising of height and Wire fence on wall at package shade  at Ghatghar HPS</t>
  </si>
  <si>
    <t>Maintain and arrange spares/inventories efficiently</t>
  </si>
  <si>
    <t>PROCUREMENT OF MOBILE RACKS FOR STORES atGhatghar HPS</t>
  </si>
  <si>
    <t>1)Necessary for maintainng spares/inventories at package shed in good condition by avoiding leakages from old roofshed.</t>
  </si>
  <si>
    <t>Package shade roof change at Ghatghar HPS</t>
  </si>
  <si>
    <t>DPR 6(CIVIL)</t>
  </si>
  <si>
    <t xml:space="preserve">1. Improved reliability              2. Reduce maint cost        3. Improved safety                    4. Avoiding downtime      </t>
  </si>
  <si>
    <r>
      <t xml:space="preserve">Design,supply ,testing ,erection and commissioing of  Power cables for GT and control cables at Yeldari HPS                                              </t>
    </r>
    <r>
      <rPr>
        <b/>
        <sz val="14"/>
        <color indexed="8"/>
        <rFont val="Bookman Old Style"/>
        <family val="1"/>
      </rPr>
      <t/>
    </r>
  </si>
  <si>
    <r>
      <t xml:space="preserve">Design,supply ,testing ,erection and commissioing of  Power cables for GT and control cables at Yeldari HPS                                            </t>
    </r>
    <r>
      <rPr>
        <b/>
        <sz val="14"/>
        <color indexed="8"/>
        <rFont val="Bookman Old Style"/>
        <family val="1"/>
      </rPr>
      <t/>
    </r>
  </si>
  <si>
    <t xml:space="preserve">1. Improved reliability              2. Reduce maint cost         3. Energy Efficiency                  4. Avoiding downtime      </t>
  </si>
  <si>
    <t xml:space="preserve"> Design,supply ,testing ,erection and commissioing of UAT capacity 250 KVA ration 6.6KV/415V with ACDB, DCDB , auto change over system                                </t>
  </si>
  <si>
    <t>1. Rapid fire supression  2. No Residue.                             3. Enhanced safety     4. Compliance with standards</t>
  </si>
  <si>
    <t xml:space="preserve">Design,supply ,testing ,erection and commissioing of Automated Co2 fire extinguishers system including supply of Co2 cylinder banks,detectors accessories and associated work at Yeldari HPS                                          </t>
  </si>
  <si>
    <t xml:space="preserve">1. Improved reliability .2. Reduce maint cost                  3. Energy Aefficiency    4. Avoiding downtime      </t>
  </si>
  <si>
    <t xml:space="preserve">Design,Supply ,testing ,erection and commissioing of  with modification of HT power circuit from 66KV to 132 KV by providing 03 Nos GT of 6.6/132 KV capcity 10 MVA with allied compatible aux. equipments  &amp; 01 Aux X`mer  2MVA of 132/11 KV at Yeldari HPS                                                         </t>
  </si>
  <si>
    <t xml:space="preserve">1. Increased thermal Endurance                                  2.Extended lifespan                                                              3. Enhanced reliability                                                          4. Better performance in Harsh condition.                            </t>
  </si>
  <si>
    <r>
      <t xml:space="preserve">Upgradation of Insulation class Yeldari HPS                                                       </t>
    </r>
    <r>
      <rPr>
        <b/>
        <sz val="14"/>
        <color indexed="8"/>
        <rFont val="Bookman Old Style"/>
        <family val="1"/>
      </rPr>
      <t/>
    </r>
  </si>
  <si>
    <t>DPR 5</t>
  </si>
  <si>
    <t>Portal Switch yard will be eliminated in future and risk of portal switch yard failure due to land sliding will be avoided. Also generation loss on this scenario will be avoided.</t>
  </si>
  <si>
    <t xml:space="preserve"> Supply, erection, testing and commissioning of 132kV Single core 300sqmm copper conductor XLPE insulated Lead sheathed power cable from Portal switchyard to Main switchyard along with fabrication of cable trays and misc. allied works at 60 MW Vaitarna HPS                                          </t>
  </si>
  <si>
    <t>Generation loss on account of AC supply failure will be avoided and downtime will be reduced.</t>
  </si>
  <si>
    <t xml:space="preserve">Supply, Erection, Testing &amp; Commissioning of 500 KVA DG set along with cable and changeover system at 60 MW Vaitarna HPS                                          </t>
  </si>
  <si>
    <t>Air conditioning in power house will be achieved as current transformers not sufficient for running both chiller units and any other extra auxilaries.</t>
  </si>
  <si>
    <t xml:space="preserve"> Design, Manufacture, Supply, Erection, Testing and commissioning of 1000 KVA UAT &amp; EAT at 60MW Vaitarna HPS.                                                                  </t>
  </si>
  <si>
    <t>Cooling water system healthiness will be ensured and less breakdown of pump and pipelines avoiding generation loss.</t>
  </si>
  <si>
    <t xml:space="preserve">Comprehensive work of Replacement, Modification,upgradation of cooling water system along with replacement of pipeline,pumps,panel etc at 60 MW Vaitarna HPS.                                           </t>
  </si>
  <si>
    <t>1. Major Outages and generation loss avaoided due to less failure and malfunctioning of Governor and Protection Relays will ensure maximum availability.     2. Faster response to load variations and faults minimises consequences of tripings.</t>
  </si>
  <si>
    <r>
      <t xml:space="preserve">Comprehensive work of redesign,manufacture, supply erection, testing &amp; commissioning of Digital Governing, Protection  and control system Consisting of SCADA on single point responsibility at 60 MW Vaitarna HPS.                                                                 </t>
    </r>
    <r>
      <rPr>
        <b/>
        <sz val="14"/>
        <color indexed="8"/>
        <rFont val="Bookman Old Style"/>
        <family val="1"/>
      </rPr>
      <t/>
    </r>
  </si>
  <si>
    <t>DPR 4</t>
  </si>
  <si>
    <t>(ii) Yet to be submitted to MERC(F Y 2026-27)</t>
  </si>
  <si>
    <t>1) Gabions offer  an easy-to-use method for decreasing water velocity and protecting    
      slopes from erosion. 
2)  Speed of construction is fast.
3)   Gabion wall has good Permeability to  water  
     (Good drainage)</t>
  </si>
  <si>
    <t>Work of construction of Gabion wall structure on down stream of nallah near Tunnel  at Vaitarna HPS.</t>
  </si>
  <si>
    <t xml:space="preserve">1) To avoid frequent maintenance of road. 
2) To avoid any unwanted accident on road during rainy season.
3)  To flush out the rain water smoothly in concrete drain
</t>
  </si>
  <si>
    <t>Work of construction of Bituminous approach road to Portal Switchyard at Vaitarna HPS.</t>
  </si>
  <si>
    <t>DPR submitted</t>
  </si>
  <si>
    <t xml:space="preserve">1) To increase stability &amp; life of hydro pow station Structures/buildings.
2) To protect the portal switchyard area and electrical equipment such as support insulator for cable joints and tunnel area. 
3) To safeguard the assets Hydro power station.
4) To  protect  health of the staff working Power Station
5) To enhance the stability of Structures/ Building.
</t>
  </si>
  <si>
    <t>Fortification and Rock fall protection Measures in Vaitarna Hydro Electric Power Project  Premises ,Tal- Igatpuri , Dist-Nashik.</t>
  </si>
  <si>
    <t>DPR 3 (CIVIL)</t>
  </si>
  <si>
    <t>1. Enhanced Precision and Control
2. Spares are not available.
3. Advanced Technology                                                4.Improved diagnostics</t>
  </si>
  <si>
    <t xml:space="preserve">Design,supply,errection,testing &amp; commissioning of  digital governing system at Yeldari HPS.                                           </t>
  </si>
  <si>
    <t>1. AVR is obsolete
2. Spares are not available.
3. Advanced control capabilities                                      4.Voltage sag mitigation</t>
  </si>
  <si>
    <t xml:space="preserve">Design,Supply ,testing ,erection and commissioing of DAVR system at Yeldari HPS                                                        </t>
  </si>
  <si>
    <t>1. Real-Time monitoring &amp; Control.                                     2. Enhanced data accuracy.      3.Improved data management.  4.Remote access. 5. Alarm &amp; Event management.  6. Enhanced security</t>
  </si>
  <si>
    <r>
      <t xml:space="preserve">Design,Supply ,testing ,erection and commissioing of C&amp;I control &amp; measurement with SCADA at Yeldari HPS.                                                           </t>
    </r>
    <r>
      <rPr>
        <b/>
        <sz val="14"/>
        <color indexed="8"/>
        <rFont val="Bookman Old Style"/>
        <family val="1"/>
      </rPr>
      <t/>
    </r>
  </si>
  <si>
    <r>
      <t xml:space="preserve">Design,Supply ,testing ,erection and commissioing of Numerical protection system at Yeldari HPS.                                        </t>
    </r>
    <r>
      <rPr>
        <b/>
        <sz val="14"/>
        <color indexed="8"/>
        <rFont val="Bookman Old Style"/>
        <family val="1"/>
      </rPr>
      <t/>
    </r>
  </si>
  <si>
    <t>1)Currently only smoke detectors are provided at Generator barrel2)Automated Co2 system will ensure safety of generator from fire</t>
  </si>
  <si>
    <t xml:space="preserve">Design,supply ,testing ,erection and commissioing of Automated Co2 fire extinguishers system  at Paithan HPS.                                         </t>
  </si>
  <si>
    <t>1)Existing system of Electromechnaical relay is obsolete.                                          2)Spares are not avialble in market                                                3)Advanced technology</t>
  </si>
  <si>
    <r>
      <t xml:space="preserve">Design,supply,testing ,erection and commissioing of DCS control system at Paithan HPS.                                                       </t>
    </r>
    <r>
      <rPr>
        <b/>
        <sz val="14"/>
        <color indexed="8"/>
        <rFont val="Bookman Old Style"/>
        <family val="1"/>
      </rPr>
      <t/>
    </r>
  </si>
  <si>
    <t>1. AVR is obsolete
2. Spares are not available.
3. Advanced control capabilities                    4.Voltage sag mitigation</t>
  </si>
  <si>
    <t xml:space="preserve">Design,Supply ,testing ,erection and commissioing of DAVR system at Paithan HPS.                                                     </t>
  </si>
  <si>
    <t xml:space="preserve">1)Transidyn tyepe analog cards used in governing ssytem are absolete            2)Spares are not available 3)Existing cards are prone to maifunction &amp; temds to probem in system.                        4)Replacement by highly efficient electronic digital governor.                                        5)  In order to implement Free Governing Mode of operation (FGMO) as per CERC directives </t>
  </si>
  <si>
    <r>
      <rPr>
        <sz val="12"/>
        <color indexed="8"/>
        <rFont val="Calibri"/>
        <family val="2"/>
      </rPr>
      <t xml:space="preserve">Design,supply,errection,testing &amp; commissioning of  digital governing system at Paithan HPS.  </t>
    </r>
    <r>
      <rPr>
        <b/>
        <sz val="12"/>
        <color indexed="8"/>
        <rFont val="Calibri"/>
        <family val="2"/>
      </rPr>
      <t xml:space="preserve">    </t>
    </r>
    <r>
      <rPr>
        <b/>
        <sz val="12"/>
        <color indexed="8"/>
        <rFont val="Bookman Old Style"/>
        <family val="1"/>
      </rPr>
      <t xml:space="preserve">                  </t>
    </r>
  </si>
  <si>
    <t>DPR 2</t>
  </si>
  <si>
    <t xml:space="preserve">Water filter treatment plant and pipeline at Ghatghar HPS. </t>
  </si>
  <si>
    <t>Provide potable water to employees at Ghatghar HPS</t>
  </si>
  <si>
    <t xml:space="preserve">Generator Circuit breaker Electrical OH at Ghatghar HPS. </t>
  </si>
  <si>
    <t xml:space="preserve">Complete refurbishment of Stator frame , core &amp; winding of 01 No generator stator at Ghatghar HPS. </t>
  </si>
  <si>
    <t xml:space="preserve">Shall reduce downtime &amp; increase availability </t>
  </si>
  <si>
    <t xml:space="preserve">Procurement &amp; commissioning of Battery bank, 55 cells of 2V  2035AH YHP39 Exide make at Ghatghar HPS </t>
  </si>
  <si>
    <t>DPR 1</t>
  </si>
  <si>
    <t>(ii) Yet to be submitted to MERC(F Y 2025-26)</t>
  </si>
  <si>
    <t>Life enhancement of unit 2 generator and increase availability of unit.</t>
  </si>
  <si>
    <t>Work of unit 2 stator core top lamination replacement work of GHPS</t>
  </si>
  <si>
    <t>Urgent restoration and Life Enhancement of Unit-2, 125MW M/s Fuji make Hydro Generator for prolonged efficient operation at Ghatghar HPS</t>
  </si>
  <si>
    <t>Dismantling and assembly of Unit-2 stator and other allied works at Ghatghar HPS</t>
  </si>
  <si>
    <t>Life enhancement of unit 1 generator and increase availability of unit.</t>
  </si>
  <si>
    <r>
      <t>Post-facto DPR for “Urgent restoration and Life Enhancement
of Unit-1, 125MW M/s Fuji make Hydro Generator for
prolonged efficient operation at Ghatghar HPS</t>
    </r>
    <r>
      <rPr>
        <b/>
        <sz val="12"/>
        <color indexed="8"/>
        <rFont val="Bookman Old Style"/>
        <family val="1"/>
      </rPr>
      <t xml:space="preserve">                                            </t>
    </r>
  </si>
  <si>
    <t>Yet to be approved by MERC (F Y 2024-25)</t>
  </si>
  <si>
    <t>Schme-N: Procurement of Static excitation system at Surya Hydro Power Station.</t>
  </si>
  <si>
    <t>Schme-M: Retrofitting, up gradation &amp; Commissioning of Protection System for Generator, Transformer and Line at Surya Hydro Power Station</t>
  </si>
  <si>
    <t>Schme-L: Replacement of existing compressor with new compressor (1 Nos.) at Paithan HPS</t>
  </si>
  <si>
    <t>Schme-K: Supply, Retrofitting, up gradation, Commissioning of Generator protection system at Paithan HPS.</t>
  </si>
  <si>
    <t>Schme-J: Supply, Erection, testing &amp; commissioning of Digital governing system and Hydraulic oil pressure unit for 15 MW Bhatsa HPS.</t>
  </si>
  <si>
    <t>Schme-I: Supply Erection, testing &amp; commissioning of Digital governing system for 06MW Surya HPS.</t>
  </si>
  <si>
    <t>Schme-H: Supply 24 point Chartless recorder for Bhatsa HPS.</t>
  </si>
  <si>
    <t>Schme-G: Replacement of 220V / 300AH Float cum boost charger with integrated DCDB for Surya Hydro Power Stn.</t>
  </si>
  <si>
    <t>Schme-F: Replacement of 220V / 300AH Float cum boost charger with integrated DCDB for Bhatsa Hydro Power Stn.</t>
  </si>
  <si>
    <t>Upgradation of existing PLC system to latest symphony plus SCADA &amp; DCS system of Ghatghar HPS (2x125 MW) under HPS Nasik</t>
  </si>
  <si>
    <t>MERC/CAPEX/20172018/0198</t>
  </si>
  <si>
    <t>Part D: Providing &amp; relaying of existing internal roads within colony area and approach roads to power house &amp; construction of storm water gutter along road at various HPS under HPC Nashik</t>
  </si>
  <si>
    <t>Part C: Construction of compund wall/chainlink fencing around colony and power house area at various HPS under Nashik HPS.</t>
  </si>
  <si>
    <t>Part B: Providing and laying water supply lines within colony and power house area at various HPS under Nashik HPS</t>
  </si>
  <si>
    <t>Part A: Refurbishment of quarters in colony, administartive buidings club building, guest house at various HPS under Nashik HPS</t>
  </si>
  <si>
    <t>MERC/CAPEX/20162017/04757</t>
  </si>
  <si>
    <t>Various Civil schemes for Modernisations of colonies at Various Locations under Nasik HPC</t>
  </si>
  <si>
    <t>C- Supply erection, testing and Commissioning and supervision of dismantling and erection of static excitation system and control system along with field instrumentation at Bhatsa HPS</t>
  </si>
  <si>
    <t>Protection system Part B:- Procure of redundant &amp; spare Numerical relays for Generator and G T Protection system.</t>
  </si>
  <si>
    <t xml:space="preserve"> Protection system Part A:- Restoration and up-gradation of electromechanical and static relays with numerical relays along with installation, testing, commissioning, and misc. allied works </t>
  </si>
  <si>
    <t>Up gradation of ABB Make Protection System &amp; Automatic Voltage Regulator, Relay Based Unit &amp; Auxiliary control for Bhatsa Hydro Power Station(1 X 15MW).</t>
  </si>
  <si>
    <t>Part B : upgradation of Protection system for both units at GHPS</t>
  </si>
  <si>
    <t>Part A : upgradation of unitrol excitation system for both units at GHPS</t>
  </si>
  <si>
    <t>Up gradation of Protection System &amp;unitrol excitation system at Ghatghar Hydro Power Station.</t>
  </si>
  <si>
    <t>MERC/CAPEX/20172018/04220</t>
  </si>
  <si>
    <t>Upgradation of Protection Systems at Ghatghar (2x125MW) and Bhatsa (1x15MW) HPS under HPC Nasik</t>
  </si>
  <si>
    <t>Supply, testing, installation and commissioning of Exide make 300 AH 220 V Lead acid stationary Plante type station battery set for Bhatsa HPS</t>
  </si>
  <si>
    <t>Supply, testing, installation and commissioning of Exide make 300 AH 220 V Lead acid stationary Plante type station battery set for Vaitarna HPS</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</si>
  <si>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</si>
  <si>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</si>
  <si>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</si>
  <si>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 xml:space="preserve">*Trued-up O&amp;M expenses excluding water charges and including insurance and after adding/deducting share of efficiency gains/losses shall be considered </t>
  </si>
  <si>
    <t># Normative O&amp;M expenses for FY 2024-25 to be computed by escalating thrice with an escalation rate of 50% weightage of WPI of the respective past five financial years and 50% weightage of CPI of the respective past five financial years</t>
  </si>
  <si>
    <t>$ Normative O&amp;M expenses for each Year of the Control Period to be computed by escalating (e) by WPI (50%) &amp; CPI (50%) of respective past five financial years, reduced by efficiency factor of 1%</t>
  </si>
  <si>
    <t>$$ In case Projected O&amp;M expenses for Control Period are different from Normative O&amp;M expenses, then detailed justification should be provided</t>
  </si>
  <si>
    <r>
      <rPr>
        <b/>
        <sz val="11"/>
        <rFont val="Times New Roman"/>
        <family val="1"/>
      </rPr>
      <t>Note</t>
    </r>
    <r>
      <rPr>
        <sz val="11"/>
        <rFont val="Times New Roman"/>
        <family val="1"/>
      </rPr>
      <t>: Water charges shall be projected based on the actual Water Charges as per latest Audited Accounts available for the Generating Company</t>
    </r>
  </si>
  <si>
    <t>&lt;Name of the Generating Company / Business&gt;</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</si>
  <si>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</si>
  <si>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</si>
  <si>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</si>
  <si>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</si>
  <si>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</si>
  <si>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</si>
  <si>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</si>
  <si>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</si>
  <si>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</si>
  <si>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</si>
  <si>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</si>
  <si>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</si>
  <si>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MSPGCL: Nasik HPC</t>
  </si>
  <si>
    <t>MTR Petition Formats - Generation</t>
  </si>
  <si>
    <t>Safe, healthy and reliable DC supply available for control circuit and protections</t>
  </si>
  <si>
    <t>To obtain fast, accurate, protection &amp; control system with long term technical support. Was obsolete, absence of critical and lack of assistance from OEM in supply. Hecne upgradation will help in ensuring reliability, reduction is system down time and faster restoration of system.</t>
  </si>
  <si>
    <t>1. Generation loss of 0.35 MU’s per day from this plant due to outage on accounts of submergence has been nullified.                                                                                                    2. Installation of latest relays enabled, settings of alarm and tripping as per requirement, customized modifications for getting desired protections, easy trouble shooting and fault diagnosis.</t>
  </si>
  <si>
    <t>1. Generation loss of 0.35 MU’s per day from this plant due to outage on accounts of submergence has been nullified.                                                                                                               2. Redundancy increases reliability and availability even in case of failure of one of the redundant relay.        3. Spare availibility is essential to restore unit in case of failure within minimum downtime.</t>
  </si>
  <si>
    <t>1. Generation loss of 0.35 MU’s per day from this plant due to outage on accounts of submergence has been nullified.                                                                                                         2. Current scheme is not directly linked to improvement in technical performance however essential to ensure reliability of system.                                                                                  3. As AVR, excitation system and control system are the major part of any Generation process, ensuring their healthiness is of utmost importance to avoid any unseen emergency and to avoid probable Generation loss.</t>
  </si>
  <si>
    <t xml:space="preserve">1) Provided pleasant and healthy enviroment in quarters.
2) Better apperence of colony premises has achieved.
3) We had provided better services to employee with minimum effort by reducing maintance cost. 4)Maintanance of quarters,Club House and Admin.Building  are reduced and All building life has increased.
</t>
  </si>
  <si>
    <t>)1Easy Installation. Galvanised iron pipes are effortless to install and have a sturdy protective covering that boosts resistance to corrosion and stress. 
2)Corrosion Resistance.
3)Long Lifespan. 
4)Easy Maintenance.
5)Eco-Friendly.
6)Cost-Friendly.</t>
  </si>
  <si>
    <t>1)provided security, privacy TO COLONY PREMISES.                                                                            2) It provided a physical barrier that enhances safety, reduces noise                                                         3)It provided barrier for animals to enter into colony and power house premises</t>
  </si>
  <si>
    <t xml:space="preserve">1) Reduced frequent maintenance of road. 
                   2)  Avoided  any unwanted accident on road during rainy season.
                 3)  To flush out the rain water on road surface and water from hillock side smoothly   
                       into nallah.
</t>
  </si>
  <si>
    <t>Avoiding possible generation loss with reduced fault attending time, fast &amp; assured protection, improvement in capacityutilization factor</t>
  </si>
  <si>
    <t>Increase in Availability Factor and Reduction in Outage Period, less maintenance require and healthy DC supply available.</t>
  </si>
  <si>
    <t>System updating essential to maintain system healthiness</t>
  </si>
  <si>
    <t>1. Major Outages and generation loss avaoided due to less failure and malfunctioning of Governor enabling maximum availability.                                                                                  2. Faster response to load variations minimises consequences of faults.</t>
  </si>
  <si>
    <t>1. Enhamced protection   .                                                2.Multi functionalility.                             3.Improved accuracy               4. Data logging and Analysis    5. Reduced maintenance           6. Flexibility and Scalability</t>
  </si>
  <si>
    <t>1. Energy efficiency                     2. Reliability                                     3. Advance technology better performance.                               4. Reduce emissions and improve environmental compliance</t>
  </si>
  <si>
    <t>1. Major Outages and generation loss avaoided due to less failure and malfunctioning of Protection Relays enabling maximum availability.                                                                                  2. Faster response to faults ensures safety of man and machine.</t>
  </si>
  <si>
    <t>1.  Increased continuous generation, Major outage and generation loss due to failure or malfunctionining of AVR avoided.                                                                                       2. Fast response to grid voltage fluctuations and corrective voltage balancing ensures minimum fault triping and generation loss.                                                                     3. FGMO scheme implemntation ensured.</t>
  </si>
  <si>
    <t>MSPGCL: Pune HPC</t>
  </si>
  <si>
    <t>With advanced microprocessor based digital governor, accurate speed control can be achieved during starting and stopping of unit.</t>
  </si>
  <si>
    <t>1.  Advanced control algorithm using PID control with feed forward 
2.  High Reliability
3. Replacement by Advanced Technology</t>
  </si>
  <si>
    <t>1. Reduced size and Compact.
2. Improves the reliability 
3. Avoid unwanted tripping of units.
4. New technology Breakers</t>
  </si>
  <si>
    <t>1. Battery voltage &amp; protection system accuracy is improved.
2. Maintenance cost will be reduced. 
3. Breakdown and plant tripping event also reduced.</t>
  </si>
  <si>
    <t xml:space="preserve">Post-facto DPR for “Urgent restoration and Life Enhancement
of Unit-1, 125MW M/s Fuji make Hydro Generator for
prolonged efficient operation at Ghatghar HPS                                            </t>
  </si>
  <si>
    <t xml:space="preserve">Design,supply,errection,testing &amp; commissioning of  digital governing system at Paithan HPS.                        </t>
  </si>
  <si>
    <t xml:space="preserve">Design,supply,testing ,erection and commissioing of DCS control system at Paithan HPS.                                                       </t>
  </si>
  <si>
    <t xml:space="preserve">Design,Supply ,testing ,erection and commissioing of Numerical protection system at Yeldari HPS.                                        </t>
  </si>
  <si>
    <t xml:space="preserve">Design,Supply ,testing ,erection and commissioing of C&amp;I control &amp; measurement with SCADA at Yeldari HPS.                                                           </t>
  </si>
  <si>
    <t xml:space="preserve">Comprehensive work of redesign,manufacture, supply erection, testing &amp; commissioning of Digital Governing, Protection  and control system Consisting of SCADA on single point responsibility at 60 MW Vaitarna HPS.                                                                 </t>
  </si>
  <si>
    <t xml:space="preserve">Upgradation of Insulation class Yeldari HPS                                                       </t>
  </si>
  <si>
    <t xml:space="preserve">Design,supply ,testing ,erection and commissioing of  Power cables for GT and control cables at Yeldari HPS                                            </t>
  </si>
  <si>
    <t xml:space="preserve">Design,supply ,testing ,erection and commissioing of  Power cables for GT and control cables at Yeldari HPS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</si>
</sst>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14009]dd/mm/yy;@"/>
    <numFmt numFmtId="179" formatCode="[$-14009]dd\-mm\-yy;@"/>
    <numFmt numFmtId="180" formatCode="[$-409]mmm\-yy;@"/>
    <numFmt numFmtId="181" formatCode="_ * #,##0.000000_ ;_ * \-#,##0.000000_ ;_ * &quot;-&quot;??_ ;_ @_ "/>
    <numFmt numFmtId="182" formatCode="_ * #,##0.00000_ ;_ * \-#,##0.00000_ ;_ * &quot;-&quot;??_ ;_ @_ "/>
    <numFmt numFmtId="183" formatCode="0.000000000000000%"/>
    <numFmt numFmtId="184" formatCode="0.0000"/>
    <numFmt numFmtId="185" formatCode="0.00000"/>
    <numFmt numFmtId="186" formatCode="0.000%"/>
    <numFmt numFmtId="187" formatCode="_(* #,##0.0000_);_(* \(#,##0.0000\);_(* &quot;-&quot;????_);_(@_)"/>
    <numFmt numFmtId="188" formatCode="_ * #,##0.0000000_ ;_ * \-#,##0.0000000_ ;_ * &quot;-&quot;??_ ;_ @_ "/>
    <numFmt numFmtId="189" formatCode="_ * #,##0.0000_ ;_ * \-#,##0.0000_ ;_ * &quot;-&quot;??_ ;_ @_ "/>
    <numFmt numFmtId="190" formatCode="[$-409]mmm/yy;@"/>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vertAlign val="superscript"/>
      <sz val="11"/>
      <color theme="1"/>
      <name val="Times New Roman"/>
      <family val="1"/>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22"/>
      <name val="Times New Roman"/>
      <family val="1"/>
    </font>
    <font>
      <b/>
      <sz val="72"/>
      <name val="Times New Roman"/>
      <family val="1"/>
    </font>
    <font>
      <b/>
      <sz val="26"/>
      <name val="Times New Roman"/>
      <family val="1"/>
    </font>
    <font>
      <sz val="12"/>
      <color theme="1"/>
      <name val="Times New Roman"/>
      <family val="1"/>
    </font>
    <font>
      <sz val="11"/>
      <name val="Calibri"/>
      <family val="2"/>
      <scheme val="minor"/>
    </font>
    <font>
      <sz val="10"/>
      <color rgb="FFFF0000"/>
      <name val="Times New Roman"/>
      <family val="1"/>
    </font>
    <font>
      <b/>
      <sz val="11"/>
      <name val="Calibri"/>
      <family val="2"/>
      <scheme val="minor"/>
    </font>
    <font>
      <b/>
      <sz val="11"/>
      <color indexed="8"/>
      <name val="Calibri"/>
      <family val="2"/>
      <scheme val="minor"/>
    </font>
    <font>
      <sz val="11"/>
      <color indexed="13"/>
      <name val="Calibri"/>
      <family val="2"/>
      <scheme val="minor"/>
    </font>
    <font>
      <b/>
      <u/>
      <sz val="11"/>
      <color rgb="FFFF0000"/>
      <name val="Calibri"/>
      <family val="2"/>
      <scheme val="minor"/>
    </font>
    <font>
      <b/>
      <sz val="11"/>
      <color indexed="36"/>
      <name val="Calibri"/>
      <family val="2"/>
      <scheme val="minor"/>
    </font>
    <font>
      <sz val="11"/>
      <color indexed="8"/>
      <name val="Calibri"/>
      <family val="2"/>
      <scheme val="minor"/>
    </font>
    <font>
      <sz val="11"/>
      <name val="Calibri"/>
      <family val="2"/>
    </font>
    <font>
      <sz val="10"/>
      <name val="Calibri"/>
      <family val="2"/>
    </font>
    <font>
      <u/>
      <sz val="11"/>
      <name val="Calibri"/>
      <family val="2"/>
      <scheme val="minor"/>
    </font>
    <font>
      <b/>
      <sz val="10"/>
      <name val="Arial"/>
      <family val="2"/>
    </font>
    <font>
      <b/>
      <sz val="10"/>
      <name val="Calibri"/>
      <family val="2"/>
    </font>
    <font>
      <sz val="11"/>
      <color rgb="FF000000"/>
      <name val="Calibri"/>
      <family val="2"/>
    </font>
    <font>
      <sz val="12"/>
      <color rgb="FF000000"/>
      <name val="Calibri"/>
      <family val="2"/>
    </font>
    <font>
      <b/>
      <sz val="11"/>
      <color rgb="FF800080"/>
      <name val="Calibri"/>
      <family val="2"/>
    </font>
    <font>
      <b/>
      <sz val="12"/>
      <name val="Calibri"/>
      <family val="2"/>
      <scheme val="minor"/>
    </font>
    <font>
      <sz val="12"/>
      <name val="Calibri"/>
      <family val="2"/>
      <scheme val="minor"/>
    </font>
    <font>
      <b/>
      <sz val="12"/>
      <color indexed="36"/>
      <name val="Calibri"/>
      <family val="2"/>
      <scheme val="minor"/>
    </font>
    <font>
      <sz val="12"/>
      <color indexed="8"/>
      <name val="Calibri"/>
      <family val="2"/>
      <scheme val="minor"/>
    </font>
    <font>
      <b/>
      <u/>
      <sz val="12"/>
      <color rgb="FFFF0000"/>
      <name val="Calibri"/>
      <family val="2"/>
      <scheme val="minor"/>
    </font>
    <font>
      <u/>
      <sz val="12"/>
      <name val="Calibri"/>
      <family val="2"/>
      <scheme val="minor"/>
    </font>
    <font>
      <b/>
      <sz val="12"/>
      <color theme="1"/>
      <name val="Calibri"/>
      <family val="2"/>
      <scheme val="minor"/>
    </font>
    <font>
      <b/>
      <sz val="14"/>
      <color indexed="8"/>
      <name val="Bookman Old Style"/>
      <family val="1"/>
    </font>
    <font>
      <sz val="12"/>
      <color theme="1"/>
      <name val="Calibri"/>
      <family val="2"/>
      <scheme val="minor"/>
    </font>
    <font>
      <sz val="12"/>
      <color indexed="8"/>
      <name val="Calibri"/>
      <family val="2"/>
    </font>
    <font>
      <b/>
      <sz val="12"/>
      <color indexed="8"/>
      <name val="Calibri"/>
      <family val="2"/>
    </font>
    <font>
      <b/>
      <sz val="12"/>
      <color indexed="8"/>
      <name val="Bookman Old Style"/>
      <family val="1"/>
    </font>
    <font>
      <sz val="12"/>
      <name val="Calibri"/>
      <family val="2"/>
    </font>
    <font>
      <b/>
      <sz val="12"/>
      <color rgb="FF800080"/>
      <name val="Calibri"/>
      <family val="2"/>
    </font>
    <font>
      <sz val="14"/>
      <color indexed="8"/>
      <name val="Calibri"/>
      <family val="2"/>
      <scheme val="minor"/>
    </font>
    <font>
      <b/>
      <u/>
      <sz val="14"/>
      <color rgb="FFFF0000"/>
      <name val="Calibri"/>
      <family val="2"/>
      <scheme val="minor"/>
    </font>
    <font>
      <sz val="11"/>
      <color rgb="FF000000"/>
      <name val="Times New Roman"/>
      <family val="1"/>
    </font>
    <font>
      <b/>
      <sz val="11"/>
      <color rgb="FF000000"/>
      <name val="Times New Roman"/>
      <family val="1"/>
    </font>
    <font>
      <sz val="11"/>
      <color indexed="8"/>
      <name val="Calibri"/>
      <family val="2"/>
      <scheme val="minor"/>
    </font>
    <font>
      <sz val="11"/>
      <name val="Calibri"/>
      <family val="2"/>
      <scheme val="minor"/>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rgb="FF000000"/>
      </patternFill>
    </fill>
    <fill>
      <patternFill patternType="solid">
        <fgColor rgb="FFFFFF00"/>
        <bgColor rgb="FF000000"/>
      </patternFill>
    </fill>
    <fill>
      <patternFill patternType="solid">
        <fgColor rgb="FFA6A6A6"/>
        <bgColor rgb="FF000000"/>
      </patternFill>
    </fill>
  </fills>
  <borders count="30">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96">
    <xf numFmtId="0" fontId="0" fillId="0" borderId="0"/>
    <xf numFmtId="0" fontId="19" fillId="0" borderId="0" applyNumberFormat="0" applyFill="0" applyBorder="0" applyAlignment="0" applyProtection="0"/>
    <xf numFmtId="0" fontId="20" fillId="0" borderId="1"/>
    <xf numFmtId="0" fontId="20" fillId="0" borderId="1"/>
    <xf numFmtId="38" fontId="21" fillId="2" borderId="0" applyNumberFormat="0" applyBorder="0" applyAlignment="0" applyProtection="0"/>
    <xf numFmtId="0" fontId="22" fillId="0" borderId="2" applyNumberFormat="0" applyAlignment="0" applyProtection="0">
      <alignment horizontal="left" vertical="center"/>
    </xf>
    <xf numFmtId="0" fontId="22" fillId="0" borderId="3">
      <alignment horizontal="left" vertical="center"/>
    </xf>
    <xf numFmtId="10" fontId="21" fillId="3" borderId="4" applyNumberFormat="0" applyBorder="0" applyAlignment="0" applyProtection="0"/>
    <xf numFmtId="37" fontId="23" fillId="0" borderId="0"/>
    <xf numFmtId="166" fontId="24" fillId="0" borderId="0"/>
    <xf numFmtId="0" fontId="18" fillId="0" borderId="0"/>
    <xf numFmtId="0" fontId="18" fillId="0" borderId="0"/>
    <xf numFmtId="0" fontId="10" fillId="0" borderId="0"/>
    <xf numFmtId="0" fontId="10" fillId="0" borderId="0"/>
    <xf numFmtId="0" fontId="18" fillId="0" borderId="0">
      <alignment vertical="center"/>
    </xf>
    <xf numFmtId="0" fontId="18" fillId="0" borderId="0">
      <alignment vertical="center"/>
    </xf>
    <xf numFmtId="167" fontId="18" fillId="0" borderId="0" applyFont="0" applyFill="0" applyBorder="0" applyAlignment="0" applyProtection="0"/>
    <xf numFmtId="10" fontId="18" fillId="0" borderId="0" applyFont="0" applyFill="0" applyBorder="0" applyAlignment="0" applyProtection="0"/>
    <xf numFmtId="0" fontId="18"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8" fillId="0" borderId="0" applyFont="0" applyFill="0" applyBorder="0" applyAlignment="0" applyProtection="0"/>
    <xf numFmtId="43"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9" fillId="0" borderId="0"/>
    <xf numFmtId="0" fontId="32" fillId="0" borderId="0"/>
    <xf numFmtId="0" fontId="32"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0" fillId="0" borderId="0"/>
    <xf numFmtId="0" fontId="18" fillId="0" borderId="0" applyBorder="0" applyProtection="0"/>
    <xf numFmtId="167" fontId="32"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164" fontId="7" fillId="0" borderId="0" applyFont="0" applyFill="0" applyBorder="0" applyAlignment="0" applyProtection="0"/>
    <xf numFmtId="165" fontId="18"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alignment vertical="center"/>
    </xf>
    <xf numFmtId="43" fontId="43" fillId="0" borderId="0" applyFont="0" applyFill="0" applyBorder="0" applyAlignment="0" applyProtection="0"/>
    <xf numFmtId="9" fontId="43" fillId="0" borderId="0" applyFont="0" applyFill="0" applyBorder="0" applyAlignment="0" applyProtection="0"/>
    <xf numFmtId="0" fontId="18"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 fillId="0" borderId="0">
      <alignment vertical="center"/>
    </xf>
    <xf numFmtId="164" fontId="18" fillId="0" borderId="0" applyFont="0" applyFill="0" applyBorder="0" applyAlignment="0" applyProtection="0"/>
    <xf numFmtId="0" fontId="16" fillId="0" borderId="0"/>
    <xf numFmtId="43" fontId="2" fillId="0" borderId="0" applyFont="0" applyFill="0" applyBorder="0" applyAlignment="0" applyProtection="0"/>
    <xf numFmtId="164" fontId="3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8" fillId="0" borderId="0"/>
    <xf numFmtId="43" fontId="2" fillId="0" borderId="0" applyFont="0" applyFill="0" applyBorder="0" applyAlignment="0" applyProtection="0"/>
    <xf numFmtId="9" fontId="2" fillId="0" borderId="0" applyFont="0" applyFill="0" applyBorder="0" applyAlignment="0" applyProtection="0"/>
    <xf numFmtId="164" fontId="32" fillId="0" borderId="0" applyFont="0" applyFill="0" applyBorder="0" applyAlignment="0" applyProtection="0"/>
    <xf numFmtId="0" fontId="1" fillId="0" borderId="0"/>
    <xf numFmtId="43" fontId="1" fillId="0" borderId="0" applyFont="0" applyFill="0" applyBorder="0" applyAlignment="0" applyProtection="0"/>
  </cellStyleXfs>
  <cellXfs count="1812">
    <xf numFmtId="0" fontId="0" fillId="0" borderId="0" xfId="0"/>
    <xf numFmtId="0" fontId="8" fillId="0" borderId="0" xfId="10" applyFont="1"/>
    <xf numFmtId="0" fontId="8" fillId="0" borderId="0" xfId="10" applyFont="1" applyFill="1"/>
    <xf numFmtId="0" fontId="8" fillId="0" borderId="4" xfId="10" applyFont="1" applyFill="1" applyBorder="1"/>
    <xf numFmtId="0" fontId="9" fillId="0" borderId="4" xfId="10" applyFont="1" applyFill="1" applyBorder="1"/>
    <xf numFmtId="0" fontId="8" fillId="0" borderId="0" xfId="10" applyFont="1" applyBorder="1"/>
    <xf numFmtId="0" fontId="9" fillId="0" borderId="0" xfId="10" applyFont="1" applyBorder="1"/>
    <xf numFmtId="0" fontId="8" fillId="5" borderId="0" xfId="10" applyFont="1" applyFill="1" applyBorder="1"/>
    <xf numFmtId="0" fontId="9" fillId="0" borderId="0" xfId="10" applyFont="1" applyAlignment="1">
      <alignment horizontal="centerContinuous"/>
    </xf>
    <xf numFmtId="0" fontId="8" fillId="0" borderId="4" xfId="10" applyFont="1" applyBorder="1"/>
    <xf numFmtId="0" fontId="8" fillId="5" borderId="4" xfId="10" applyFont="1" applyFill="1" applyBorder="1"/>
    <xf numFmtId="0" fontId="8" fillId="0" borderId="0" xfId="10" applyFont="1" applyFill="1" applyBorder="1"/>
    <xf numFmtId="0" fontId="9" fillId="4" borderId="4" xfId="10" applyFont="1" applyFill="1" applyBorder="1"/>
    <xf numFmtId="0" fontId="8" fillId="0" borderId="0" xfId="14" applyFont="1">
      <alignment vertical="center"/>
    </xf>
    <xf numFmtId="0" fontId="9" fillId="0" borderId="0" xfId="14" applyFont="1" applyAlignment="1">
      <alignment horizontal="centerContinuous" vertical="center"/>
    </xf>
    <xf numFmtId="0" fontId="8" fillId="0" borderId="0" xfId="14" applyFont="1" applyAlignment="1">
      <alignment horizontal="centerContinuous" vertical="center"/>
    </xf>
    <xf numFmtId="0" fontId="9" fillId="0" borderId="0" xfId="10" applyFont="1" applyBorder="1" applyAlignment="1">
      <alignment horizontal="centerContinuous" vertical="top"/>
    </xf>
    <xf numFmtId="0" fontId="8" fillId="0" borderId="0" xfId="10" applyFont="1" applyBorder="1" applyAlignment="1">
      <alignment horizontal="centerContinuous"/>
    </xf>
    <xf numFmtId="0" fontId="9" fillId="0" borderId="0" xfId="10" applyFont="1" applyBorder="1" applyAlignment="1">
      <alignment horizontal="centerContinuous"/>
    </xf>
    <xf numFmtId="0" fontId="8" fillId="6" borderId="0" xfId="10" applyFont="1" applyFill="1" applyBorder="1" applyAlignment="1">
      <alignment horizontal="centerContinuous"/>
    </xf>
    <xf numFmtId="0" fontId="8" fillId="6" borderId="0" xfId="10" applyFont="1" applyFill="1" applyBorder="1" applyAlignment="1">
      <alignment horizontal="left"/>
    </xf>
    <xf numFmtId="0" fontId="9" fillId="0" borderId="0" xfId="14" applyFont="1" applyAlignment="1">
      <alignment horizontal="right" vertical="center"/>
    </xf>
    <xf numFmtId="0" fontId="9" fillId="0" borderId="0" xfId="14" applyFont="1">
      <alignment vertical="center"/>
    </xf>
    <xf numFmtId="0" fontId="8" fillId="0" borderId="4" xfId="14" applyFont="1" applyBorder="1">
      <alignment vertical="center"/>
    </xf>
    <xf numFmtId="0" fontId="9" fillId="5" borderId="4" xfId="10" applyFont="1" applyFill="1" applyBorder="1" applyAlignment="1" applyProtection="1">
      <alignment horizontal="left"/>
    </xf>
    <xf numFmtId="0" fontId="8" fillId="5" borderId="4" xfId="10" applyFont="1" applyFill="1" applyBorder="1" applyAlignment="1" applyProtection="1">
      <alignment horizontal="left"/>
    </xf>
    <xf numFmtId="0" fontId="9" fillId="0" borderId="4" xfId="14" applyFont="1" applyBorder="1">
      <alignment vertical="center"/>
    </xf>
    <xf numFmtId="0" fontId="8" fillId="5" borderId="4" xfId="10" quotePrefix="1" applyFont="1" applyFill="1" applyBorder="1" applyAlignment="1">
      <alignment horizontal="left" vertical="top" wrapText="1"/>
    </xf>
    <xf numFmtId="0" fontId="8" fillId="5" borderId="4" xfId="10" applyFont="1" applyFill="1" applyBorder="1" applyAlignment="1" applyProtection="1">
      <alignment horizontal="left" wrapText="1"/>
    </xf>
    <xf numFmtId="0" fontId="16" fillId="0" borderId="0" xfId="10" applyFont="1" applyAlignment="1">
      <alignment horizontal="center" vertical="center"/>
    </xf>
    <xf numFmtId="0" fontId="17" fillId="0" borderId="0" xfId="14" applyFont="1">
      <alignment vertical="center"/>
    </xf>
    <xf numFmtId="0" fontId="13" fillId="0" borderId="0" xfId="14" applyFont="1" applyAlignment="1">
      <alignment horizontal="right" vertical="center"/>
    </xf>
    <xf numFmtId="0" fontId="8" fillId="0" borderId="0" xfId="14" applyFont="1" applyAlignment="1">
      <alignment vertical="center"/>
    </xf>
    <xf numFmtId="0" fontId="8" fillId="0" borderId="0" xfId="10" applyFont="1" applyBorder="1" applyAlignment="1">
      <alignment horizontal="center" vertical="top"/>
    </xf>
    <xf numFmtId="0" fontId="8" fillId="0" borderId="0" xfId="10" applyFont="1" applyBorder="1" applyAlignment="1"/>
    <xf numFmtId="0" fontId="8" fillId="0" borderId="0" xfId="10" applyFont="1" applyBorder="1" applyAlignment="1">
      <alignment vertical="top"/>
    </xf>
    <xf numFmtId="0" fontId="8" fillId="0" borderId="4" xfId="10" applyFont="1" applyBorder="1" applyAlignment="1">
      <alignment vertical="top"/>
    </xf>
    <xf numFmtId="0" fontId="8" fillId="0" borderId="4" xfId="10" applyFont="1" applyBorder="1" applyAlignment="1"/>
    <xf numFmtId="0" fontId="9" fillId="5" borderId="4" xfId="14" applyFont="1" applyFill="1" applyBorder="1" applyAlignment="1">
      <alignment horizontal="center" vertical="center" wrapText="1"/>
    </xf>
    <xf numFmtId="0" fontId="9" fillId="0" borderId="4" xfId="10" applyFont="1" applyBorder="1"/>
    <xf numFmtId="0" fontId="8" fillId="0" borderId="0" xfId="10" applyFont="1" applyFill="1" applyBorder="1" applyProtection="1"/>
    <xf numFmtId="166" fontId="8" fillId="0" borderId="0" xfId="10" applyNumberFormat="1" applyFont="1" applyFill="1" applyBorder="1" applyAlignment="1" applyProtection="1">
      <alignment horizontal="center"/>
    </xf>
    <xf numFmtId="0" fontId="9"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8" fillId="0" borderId="0" xfId="10" applyFont="1" applyBorder="1" applyAlignment="1">
      <alignment horizontal="left"/>
    </xf>
    <xf numFmtId="0" fontId="8" fillId="0" borderId="0" xfId="10" applyFont="1" applyBorder="1" applyAlignment="1">
      <alignment horizontal="left" vertical="top"/>
    </xf>
    <xf numFmtId="166" fontId="8" fillId="0" borderId="0" xfId="10" applyNumberFormat="1" applyFont="1" applyFill="1" applyBorder="1" applyProtection="1"/>
    <xf numFmtId="0" fontId="8" fillId="0" borderId="0" xfId="10" applyFont="1" applyBorder="1" applyAlignment="1">
      <alignment horizontal="center" vertical="top" wrapText="1"/>
    </xf>
    <xf numFmtId="0" fontId="8" fillId="0" borderId="0" xfId="10" applyFont="1" applyBorder="1" applyAlignment="1">
      <alignment horizontal="center"/>
    </xf>
    <xf numFmtId="0" fontId="8" fillId="0" borderId="0" xfId="10" applyFont="1" applyBorder="1" applyAlignment="1">
      <alignment horizontal="justify" vertical="top" wrapText="1"/>
    </xf>
    <xf numFmtId="0" fontId="9" fillId="0" borderId="0" xfId="10" applyFont="1" applyFill="1" applyBorder="1" applyAlignment="1">
      <alignment horizontal="left" vertical="top"/>
    </xf>
    <xf numFmtId="0" fontId="9" fillId="0" borderId="0" xfId="10" applyFont="1" applyBorder="1" applyAlignment="1">
      <alignment horizontal="left"/>
    </xf>
    <xf numFmtId="0" fontId="9" fillId="5" borderId="0" xfId="10" applyFont="1" applyFill="1" applyBorder="1"/>
    <xf numFmtId="0" fontId="26" fillId="0" borderId="0" xfId="10" applyFont="1" applyBorder="1" applyAlignment="1">
      <alignment vertical="top" wrapText="1"/>
    </xf>
    <xf numFmtId="0" fontId="8" fillId="5" borderId="0" xfId="10" applyFont="1" applyFill="1" applyBorder="1" applyAlignment="1">
      <alignment wrapText="1"/>
    </xf>
    <xf numFmtId="0" fontId="9" fillId="0" borderId="0" xfId="14" applyFont="1" applyFill="1" applyBorder="1" applyAlignment="1">
      <alignment vertical="center" wrapText="1"/>
    </xf>
    <xf numFmtId="0" fontId="8" fillId="0" borderId="4" xfId="10" applyFont="1" applyFill="1" applyBorder="1" applyAlignment="1" applyProtection="1">
      <alignment horizontal="left"/>
    </xf>
    <xf numFmtId="0" fontId="8" fillId="5" borderId="4" xfId="10" applyFont="1" applyFill="1" applyBorder="1" applyAlignment="1" applyProtection="1">
      <alignment vertical="top" wrapText="1"/>
    </xf>
    <xf numFmtId="0" fontId="9" fillId="5" borderId="4" xfId="10" applyFont="1" applyFill="1" applyBorder="1" applyAlignment="1" applyProtection="1">
      <alignment vertical="top" wrapText="1"/>
    </xf>
    <xf numFmtId="0" fontId="9" fillId="0" borderId="0" xfId="10" applyFont="1" applyBorder="1" applyAlignment="1">
      <alignment horizontal="right"/>
    </xf>
    <xf numFmtId="0" fontId="8" fillId="0" borderId="0" xfId="14" applyFont="1" applyFill="1" applyBorder="1">
      <alignment vertical="center"/>
    </xf>
    <xf numFmtId="0" fontId="9" fillId="0" borderId="0" xfId="10" applyFont="1" applyBorder="1" applyAlignment="1">
      <alignment vertical="center"/>
    </xf>
    <xf numFmtId="0" fontId="8" fillId="0" borderId="0" xfId="10" applyFont="1" applyFill="1" applyBorder="1" applyAlignment="1">
      <alignment horizontal="centerContinuous"/>
    </xf>
    <xf numFmtId="0" fontId="9" fillId="0" borderId="0" xfId="10" applyFont="1" applyFill="1" applyBorder="1" applyAlignment="1">
      <alignment horizontal="centerContinuous"/>
    </xf>
    <xf numFmtId="0" fontId="9" fillId="0" borderId="0" xfId="10" applyFont="1" applyBorder="1" applyAlignment="1">
      <alignment horizontal="left" vertical="top"/>
    </xf>
    <xf numFmtId="0" fontId="8" fillId="0" borderId="0" xfId="10" applyFont="1" applyAlignment="1"/>
    <xf numFmtId="0" fontId="8" fillId="0" borderId="0" xfId="10" applyFont="1" applyBorder="1" applyAlignment="1">
      <alignment horizontal="centerContinuous" vertical="top"/>
    </xf>
    <xf numFmtId="0" fontId="28" fillId="0" borderId="0" xfId="10" applyFont="1" applyFill="1" applyBorder="1"/>
    <xf numFmtId="0" fontId="9" fillId="0" borderId="0" xfId="10" applyFont="1" applyBorder="1" applyAlignment="1">
      <alignment horizontal="center"/>
    </xf>
    <xf numFmtId="0" fontId="9" fillId="0" borderId="4" xfId="10" applyFont="1" applyBorder="1" applyAlignment="1">
      <alignment vertical="top"/>
    </xf>
    <xf numFmtId="0" fontId="10" fillId="0" borderId="0" xfId="14" applyFont="1">
      <alignment vertical="center"/>
    </xf>
    <xf numFmtId="0" fontId="11" fillId="0" borderId="0" xfId="14" applyFont="1">
      <alignment vertical="center"/>
    </xf>
    <xf numFmtId="0" fontId="10" fillId="0" borderId="0" xfId="14" applyFont="1" applyFill="1">
      <alignment vertical="center"/>
    </xf>
    <xf numFmtId="0" fontId="10" fillId="0" borderId="4" xfId="14" applyFont="1" applyFill="1" applyBorder="1">
      <alignment vertical="center"/>
    </xf>
    <xf numFmtId="0" fontId="11" fillId="0" borderId="0" xfId="14" applyFont="1" applyFill="1" applyBorder="1">
      <alignment vertical="center"/>
    </xf>
    <xf numFmtId="0" fontId="10" fillId="0" borderId="0" xfId="14" applyFont="1" applyFill="1" applyBorder="1">
      <alignment vertical="center"/>
    </xf>
    <xf numFmtId="0" fontId="8" fillId="6" borderId="0" xfId="10" applyFont="1" applyFill="1" applyBorder="1"/>
    <xf numFmtId="0" fontId="8" fillId="0" borderId="4" xfId="10" applyFont="1" applyFill="1" applyBorder="1" applyAlignment="1" applyProtection="1">
      <alignment horizontal="left" vertical="top" wrapText="1"/>
    </xf>
    <xf numFmtId="0" fontId="8" fillId="0" borderId="4" xfId="10" applyFont="1" applyFill="1" applyBorder="1" applyAlignment="1">
      <alignment vertical="top"/>
    </xf>
    <xf numFmtId="0" fontId="28" fillId="0" borderId="0" xfId="14" applyFont="1" applyFill="1">
      <alignment vertical="center"/>
    </xf>
    <xf numFmtId="0" fontId="9" fillId="0" borderId="0" xfId="10" applyFont="1" applyBorder="1" applyAlignment="1"/>
    <xf numFmtId="0" fontId="9" fillId="0" borderId="0" xfId="14" applyFont="1" applyFill="1" applyBorder="1" applyAlignment="1">
      <alignment horizontal="left" vertical="center"/>
    </xf>
    <xf numFmtId="0" fontId="8" fillId="0" borderId="0" xfId="14" applyFont="1" applyAlignment="1">
      <alignment vertical="center" wrapText="1"/>
    </xf>
    <xf numFmtId="0" fontId="25" fillId="0" borderId="4" xfId="10" applyFont="1" applyBorder="1" applyAlignment="1">
      <alignment horizontal="left"/>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0" applyFont="1" applyBorder="1" applyAlignment="1">
      <alignment horizontal="center" vertical="top"/>
    </xf>
    <xf numFmtId="0" fontId="11" fillId="0" borderId="0" xfId="10" applyFont="1" applyBorder="1" applyAlignment="1">
      <alignment horizontal="center" vertical="center"/>
    </xf>
    <xf numFmtId="0" fontId="8" fillId="0" borderId="0" xfId="10" applyFont="1" applyBorder="1" applyAlignment="1">
      <alignment vertical="center"/>
    </xf>
    <xf numFmtId="0" fontId="8" fillId="0" borderId="4" xfId="10" applyFont="1" applyFill="1" applyBorder="1" applyAlignment="1" applyProtection="1">
      <alignment horizontal="left" vertical="center"/>
    </xf>
    <xf numFmtId="0" fontId="8" fillId="0" borderId="0" xfId="10" applyFont="1" applyFill="1" applyBorder="1" applyAlignment="1">
      <alignment vertical="center"/>
    </xf>
    <xf numFmtId="0" fontId="9" fillId="0" borderId="0" xfId="10" applyFont="1" applyBorder="1" applyAlignment="1">
      <alignment horizontal="center" vertical="center"/>
    </xf>
    <xf numFmtId="0" fontId="10" fillId="0" borderId="0" xfId="10" applyFont="1"/>
    <xf numFmtId="0" fontId="8" fillId="0" borderId="4" xfId="10" applyFont="1" applyBorder="1" applyAlignment="1">
      <alignment horizontal="center" vertical="top"/>
    </xf>
    <xf numFmtId="0" fontId="8" fillId="0" borderId="4" xfId="10" applyFont="1" applyFill="1" applyBorder="1" applyAlignment="1" applyProtection="1">
      <alignment horizontal="left" wrapText="1"/>
    </xf>
    <xf numFmtId="0" fontId="8" fillId="0" borderId="0" xfId="10" applyFont="1" applyAlignment="1">
      <alignment vertical="center"/>
    </xf>
    <xf numFmtId="0" fontId="9" fillId="0" borderId="4" xfId="10" applyFont="1" applyBorder="1" applyAlignment="1">
      <alignment horizontal="left" vertical="top"/>
    </xf>
    <xf numFmtId="0" fontId="8" fillId="0" borderId="0" xfId="14" applyFont="1" applyAlignment="1">
      <alignment horizontal="center" vertical="center"/>
    </xf>
    <xf numFmtId="0" fontId="8" fillId="0" borderId="4" xfId="14" applyFont="1" applyBorder="1" applyAlignment="1">
      <alignment horizontal="center" vertical="center"/>
    </xf>
    <xf numFmtId="0" fontId="9" fillId="0" borderId="4" xfId="14" applyFont="1" applyBorder="1" applyAlignment="1">
      <alignment horizontal="center" vertical="center"/>
    </xf>
    <xf numFmtId="0" fontId="14" fillId="0" borderId="0" xfId="14" applyFont="1" applyAlignment="1">
      <alignment horizontal="left" vertical="center"/>
    </xf>
    <xf numFmtId="0" fontId="8" fillId="0" borderId="4" xfId="14" applyFont="1" applyBorder="1" applyAlignment="1">
      <alignment vertical="top" wrapText="1"/>
    </xf>
    <xf numFmtId="0" fontId="8" fillId="0" borderId="4" xfId="14" applyFont="1" applyBorder="1" applyAlignment="1">
      <alignment horizontal="center" vertical="top" wrapText="1"/>
    </xf>
    <xf numFmtId="0" fontId="9" fillId="0" borderId="4" xfId="14" applyFont="1" applyBorder="1" applyAlignment="1">
      <alignment vertical="top" wrapText="1"/>
    </xf>
    <xf numFmtId="0" fontId="9" fillId="4" borderId="4" xfId="10" applyFont="1" applyFill="1" applyBorder="1" applyAlignment="1">
      <alignment vertical="top" wrapText="1"/>
    </xf>
    <xf numFmtId="16" fontId="9" fillId="4" borderId="4" xfId="10" applyNumberFormat="1" applyFont="1" applyFill="1" applyBorder="1" applyAlignment="1">
      <alignment horizontal="center" vertical="center" wrapText="1"/>
    </xf>
    <xf numFmtId="0" fontId="9" fillId="0" borderId="4" xfId="10" applyFont="1" applyFill="1" applyBorder="1" applyAlignment="1" applyProtection="1">
      <alignment vertical="top" wrapText="1"/>
    </xf>
    <xf numFmtId="0" fontId="18" fillId="4" borderId="4" xfId="10" applyFill="1" applyBorder="1" applyAlignment="1">
      <alignment horizontal="center" vertical="center" wrapText="1"/>
    </xf>
    <xf numFmtId="0" fontId="9" fillId="0" borderId="4" xfId="10" applyFont="1" applyBorder="1" applyAlignment="1"/>
    <xf numFmtId="0" fontId="10" fillId="0" borderId="4" xfId="14" applyFont="1" applyFill="1" applyBorder="1" applyAlignment="1">
      <alignment horizontal="center" vertical="center"/>
    </xf>
    <xf numFmtId="0" fontId="11" fillId="0" borderId="4" xfId="10" applyFont="1" applyFill="1" applyBorder="1" applyAlignment="1">
      <alignment horizontal="center" vertical="center" wrapText="1"/>
    </xf>
    <xf numFmtId="0" fontId="11" fillId="0" borderId="4" xfId="10" applyFont="1" applyFill="1" applyBorder="1" applyAlignment="1">
      <alignment horizontal="center" vertical="center"/>
    </xf>
    <xf numFmtId="0" fontId="10" fillId="0" borderId="4" xfId="14" applyFont="1" applyBorder="1">
      <alignment vertical="center"/>
    </xf>
    <xf numFmtId="0" fontId="10" fillId="0" borderId="0" xfId="14" applyFont="1" applyAlignment="1">
      <alignment horizontal="center" vertical="center"/>
    </xf>
    <xf numFmtId="0" fontId="11" fillId="0" borderId="0" xfId="10" applyFont="1"/>
    <xf numFmtId="0" fontId="10" fillId="0" borderId="0" xfId="10" applyFont="1" applyAlignment="1">
      <alignment vertical="center"/>
    </xf>
    <xf numFmtId="0" fontId="18" fillId="0" borderId="0" xfId="10" applyAlignment="1">
      <alignment vertical="center"/>
    </xf>
    <xf numFmtId="0" fontId="9" fillId="0" borderId="4" xfId="14" applyFont="1" applyBorder="1" applyAlignment="1">
      <alignment horizontal="center" vertical="top" wrapText="1"/>
    </xf>
    <xf numFmtId="0" fontId="8" fillId="0" borderId="4" xfId="14" applyFont="1" applyFill="1" applyBorder="1">
      <alignment vertical="center"/>
    </xf>
    <xf numFmtId="0" fontId="8" fillId="0" borderId="4" xfId="14" applyFont="1" applyFill="1" applyBorder="1" applyAlignment="1">
      <alignment vertical="top" wrapText="1"/>
    </xf>
    <xf numFmtId="0" fontId="8" fillId="0" borderId="0" xfId="15" applyFont="1" applyAlignment="1">
      <alignment vertical="center"/>
    </xf>
    <xf numFmtId="0" fontId="17" fillId="0" borderId="4" xfId="14" applyFont="1" applyBorder="1">
      <alignment vertical="center"/>
    </xf>
    <xf numFmtId="0" fontId="17" fillId="0" borderId="4" xfId="14" applyFont="1" applyBorder="1" applyAlignment="1">
      <alignment horizontal="center" vertical="center"/>
    </xf>
    <xf numFmtId="0" fontId="17"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8" fillId="0" borderId="4" xfId="14" applyFont="1" applyBorder="1" applyAlignment="1">
      <alignment horizontal="left" vertical="center"/>
    </xf>
    <xf numFmtId="0" fontId="8" fillId="0" borderId="4" xfId="14" applyFont="1" applyFill="1" applyBorder="1" applyAlignment="1">
      <alignment horizontal="left" vertical="center"/>
    </xf>
    <xf numFmtId="0" fontId="8" fillId="0" borderId="0" xfId="10" applyFont="1" applyAlignment="1">
      <alignment vertical="top"/>
    </xf>
    <xf numFmtId="0" fontId="9" fillId="0" borderId="0" xfId="10" applyFont="1" applyAlignment="1">
      <alignment horizontal="center"/>
    </xf>
    <xf numFmtId="0" fontId="9" fillId="0" borderId="4" xfId="10" applyFont="1" applyBorder="1" applyAlignment="1">
      <alignment horizontal="center" vertical="center"/>
    </xf>
    <xf numFmtId="0" fontId="8" fillId="0" borderId="4" xfId="10" applyFont="1" applyBorder="1" applyAlignment="1">
      <alignment horizont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8" fillId="5" borderId="4" xfId="10" applyFont="1" applyFill="1" applyBorder="1" applyAlignment="1">
      <alignment horizontal="center" vertical="top"/>
    </xf>
    <xf numFmtId="0" fontId="8" fillId="5" borderId="4" xfId="14" applyFont="1" applyFill="1" applyBorder="1">
      <alignment vertical="center"/>
    </xf>
    <xf numFmtId="0" fontId="9" fillId="5" borderId="4" xfId="10" applyFont="1" applyFill="1" applyBorder="1" applyAlignment="1" applyProtection="1">
      <alignment horizontal="left" vertical="top" wrapText="1"/>
    </xf>
    <xf numFmtId="0" fontId="8" fillId="5" borderId="4" xfId="10" applyFont="1" applyFill="1" applyBorder="1" applyAlignment="1">
      <alignment horizontal="center"/>
    </xf>
    <xf numFmtId="0" fontId="9" fillId="5" borderId="4" xfId="10" applyFont="1" applyFill="1" applyBorder="1" applyAlignment="1">
      <alignment horizontal="center"/>
    </xf>
    <xf numFmtId="0" fontId="9" fillId="5" borderId="4" xfId="14" quotePrefix="1" applyFont="1" applyFill="1" applyBorder="1" applyAlignment="1">
      <alignment horizontal="center" vertical="center" wrapText="1"/>
    </xf>
    <xf numFmtId="0" fontId="9" fillId="5" borderId="4" xfId="14" applyFont="1" applyFill="1" applyBorder="1" applyAlignment="1">
      <alignment horizontal="left" vertical="center" wrapText="1"/>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center" vertical="center" wrapText="1"/>
    </xf>
    <xf numFmtId="0" fontId="8" fillId="6" borderId="4" xfId="14" applyFont="1" applyFill="1" applyBorder="1" applyAlignment="1">
      <alignment horizontal="left" vertical="center" wrapText="1"/>
    </xf>
    <xf numFmtId="0" fontId="8" fillId="6" borderId="4" xfId="14" applyFont="1" applyFill="1" applyBorder="1" applyAlignment="1">
      <alignment vertical="center" wrapText="1"/>
    </xf>
    <xf numFmtId="0" fontId="8" fillId="5" borderId="4" xfId="14" applyFont="1" applyFill="1" applyBorder="1" applyAlignment="1">
      <alignment horizontal="left" vertical="center" wrapText="1"/>
    </xf>
    <xf numFmtId="0" fontId="9" fillId="0" borderId="4" xfId="10" applyFont="1" applyBorder="1" applyAlignment="1">
      <alignment horizontal="center"/>
    </xf>
    <xf numFmtId="0" fontId="9" fillId="0" borderId="4" xfId="10" applyFont="1" applyBorder="1" applyAlignment="1">
      <alignment vertical="top" wrapText="1"/>
    </xf>
    <xf numFmtId="0" fontId="9" fillId="6" borderId="4" xfId="10" applyFont="1" applyFill="1" applyBorder="1" applyAlignment="1">
      <alignment vertical="top"/>
    </xf>
    <xf numFmtId="0" fontId="18" fillId="5" borderId="4" xfId="10" applyFill="1" applyBorder="1" applyAlignment="1">
      <alignment horizontal="center" vertical="center"/>
    </xf>
    <xf numFmtId="0" fontId="8" fillId="0" borderId="4" xfId="10" applyFont="1" applyFill="1" applyBorder="1" applyProtection="1"/>
    <xf numFmtId="0" fontId="9" fillId="5" borderId="4" xfId="10" applyFont="1" applyFill="1" applyBorder="1"/>
    <xf numFmtId="0" fontId="9" fillId="5" borderId="4" xfId="10" applyFont="1" applyFill="1" applyBorder="1" applyAlignment="1">
      <alignment horizontal="center" vertical="center"/>
    </xf>
    <xf numFmtId="0" fontId="8" fillId="0" borderId="4" xfId="10" applyFont="1" applyFill="1" applyBorder="1" applyAlignment="1" applyProtection="1">
      <alignment wrapText="1"/>
    </xf>
    <xf numFmtId="0" fontId="9" fillId="5" borderId="4" xfId="10" applyFont="1" applyFill="1" applyBorder="1" applyAlignment="1">
      <alignment horizontal="center" vertical="top"/>
    </xf>
    <xf numFmtId="0" fontId="8" fillId="5" borderId="4" xfId="14" applyFont="1" applyFill="1" applyBorder="1" applyAlignment="1">
      <alignment vertical="center" wrapText="1"/>
    </xf>
    <xf numFmtId="0" fontId="8" fillId="0" borderId="4" xfId="14" applyFont="1" applyFill="1" applyBorder="1" applyAlignment="1">
      <alignment vertical="center" wrapText="1"/>
    </xf>
    <xf numFmtId="0" fontId="9" fillId="0" borderId="0" xfId="10" applyFont="1" applyBorder="1" applyAlignment="1">
      <alignment horizontal="left" vertical="center"/>
    </xf>
    <xf numFmtId="0" fontId="9" fillId="0" borderId="0" xfId="10" applyFont="1" applyBorder="1" applyAlignment="1">
      <alignment horizontal="centerContinuous" vertical="center"/>
    </xf>
    <xf numFmtId="0" fontId="8" fillId="0" borderId="0" xfId="10" applyFont="1" applyBorder="1" applyAlignment="1">
      <alignment horizontal="centerContinuous" vertical="center"/>
    </xf>
    <xf numFmtId="0" fontId="8" fillId="5" borderId="4" xfId="10" applyFont="1" applyFill="1" applyBorder="1" applyAlignment="1">
      <alignment horizontal="center" vertical="center"/>
    </xf>
    <xf numFmtId="0" fontId="8" fillId="5" borderId="4" xfId="10" applyFont="1" applyFill="1" applyBorder="1" applyAlignment="1" applyProtection="1">
      <alignment vertical="center" wrapText="1"/>
    </xf>
    <xf numFmtId="0" fontId="9" fillId="5" borderId="4" xfId="10" applyFont="1" applyFill="1" applyBorder="1" applyAlignment="1" applyProtection="1">
      <alignment horizontal="left" vertical="center" wrapText="1"/>
    </xf>
    <xf numFmtId="0" fontId="8" fillId="0" borderId="4" xfId="10" applyFont="1" applyBorder="1" applyAlignment="1">
      <alignment vertical="center"/>
    </xf>
    <xf numFmtId="0" fontId="8" fillId="5" borderId="0" xfId="10" applyFont="1" applyFill="1" applyBorder="1" applyAlignment="1">
      <alignment vertical="center"/>
    </xf>
    <xf numFmtId="0" fontId="8" fillId="0" borderId="0" xfId="10" applyFont="1" applyBorder="1" applyAlignment="1">
      <alignment horizontal="left" vertical="center"/>
    </xf>
    <xf numFmtId="0" fontId="25" fillId="0" borderId="0" xfId="10" applyFont="1" applyBorder="1" applyAlignment="1">
      <alignment horizontal="left" vertical="center"/>
    </xf>
    <xf numFmtId="166" fontId="8" fillId="0" borderId="0" xfId="10" applyNumberFormat="1" applyFont="1" applyFill="1" applyBorder="1" applyAlignment="1" applyProtection="1">
      <alignment vertical="center"/>
    </xf>
    <xf numFmtId="0" fontId="8" fillId="0" borderId="4" xfId="10" applyFont="1" applyBorder="1" applyAlignment="1">
      <alignment horizontal="center" vertical="center"/>
    </xf>
    <xf numFmtId="0" fontId="9"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1" fillId="6" borderId="4" xfId="10" applyFont="1" applyFill="1" applyBorder="1" applyAlignment="1">
      <alignment vertical="center"/>
    </xf>
    <xf numFmtId="0" fontId="31" fillId="6" borderId="4" xfId="10" applyFont="1" applyFill="1" applyBorder="1" applyAlignment="1">
      <alignment horizontal="center" vertical="center"/>
    </xf>
    <xf numFmtId="0" fontId="30" fillId="6" borderId="4" xfId="10" applyFont="1" applyFill="1" applyBorder="1" applyAlignment="1">
      <alignment vertical="center"/>
    </xf>
    <xf numFmtId="0" fontId="30" fillId="6" borderId="0" xfId="10" applyFont="1" applyFill="1" applyBorder="1" applyAlignment="1">
      <alignment horizontal="left" vertical="top"/>
    </xf>
    <xf numFmtId="0" fontId="30" fillId="6" borderId="0" xfId="10" applyFont="1" applyFill="1" applyBorder="1" applyAlignment="1"/>
    <xf numFmtId="0" fontId="30" fillId="6" borderId="4" xfId="10" applyFont="1" applyFill="1" applyBorder="1" applyAlignment="1">
      <alignment horizontal="center" vertical="center"/>
    </xf>
    <xf numFmtId="0" fontId="30" fillId="6" borderId="4" xfId="10" applyFont="1" applyFill="1" applyBorder="1" applyAlignment="1">
      <alignment horizontal="center"/>
    </xf>
    <xf numFmtId="0" fontId="30" fillId="6" borderId="4" xfId="10" applyFont="1" applyFill="1" applyBorder="1" applyAlignment="1"/>
    <xf numFmtId="0" fontId="31" fillId="6" borderId="4" xfId="10" applyFont="1" applyFill="1" applyBorder="1" applyAlignment="1"/>
    <xf numFmtId="0" fontId="31" fillId="6" borderId="0" xfId="10" applyFont="1" applyFill="1" applyAlignment="1"/>
    <xf numFmtId="0" fontId="9" fillId="5" borderId="0" xfId="14" applyFont="1" applyFill="1" applyBorder="1" applyAlignment="1">
      <alignment horizontal="center" vertical="center" wrapText="1"/>
    </xf>
    <xf numFmtId="0" fontId="9" fillId="5" borderId="0" xfId="14" applyFont="1" applyFill="1" applyBorder="1" applyAlignment="1">
      <alignment horizontal="left" vertical="center" wrapText="1"/>
    </xf>
    <xf numFmtId="0" fontId="8" fillId="5" borderId="0" xfId="14" quotePrefix="1" applyFont="1" applyFill="1" applyBorder="1" applyAlignment="1">
      <alignment horizontal="center" vertical="center" wrapText="1"/>
    </xf>
    <xf numFmtId="0" fontId="9" fillId="6" borderId="4" xfId="14" applyFont="1" applyFill="1" applyBorder="1" applyAlignment="1">
      <alignment horizontal="left" vertical="center" wrapText="1"/>
    </xf>
    <xf numFmtId="0" fontId="9" fillId="6" borderId="4" xfId="14" applyFont="1" applyFill="1" applyBorder="1" applyAlignment="1">
      <alignment vertical="center" wrapText="1"/>
    </xf>
    <xf numFmtId="0" fontId="9" fillId="5" borderId="4" xfId="14" applyFont="1" applyFill="1" applyBorder="1" applyAlignment="1">
      <alignment horizontal="left" vertical="center"/>
    </xf>
    <xf numFmtId="0" fontId="8" fillId="0" borderId="0" xfId="14" applyFont="1" applyAlignment="1"/>
    <xf numFmtId="0" fontId="9" fillId="5" borderId="4" xfId="14" quotePrefix="1" applyFont="1" applyFill="1" applyBorder="1" applyAlignment="1">
      <alignment horizontal="center" wrapText="1"/>
    </xf>
    <xf numFmtId="0" fontId="9" fillId="5" borderId="4" xfId="14" applyFont="1" applyFill="1" applyBorder="1" applyAlignment="1">
      <alignment horizontal="center" wrapText="1"/>
    </xf>
    <xf numFmtId="0" fontId="8" fillId="5" borderId="4" xfId="14" applyFont="1" applyFill="1" applyBorder="1" applyAlignment="1">
      <alignment horizontal="center" wrapText="1"/>
    </xf>
    <xf numFmtId="2" fontId="8" fillId="5" borderId="4" xfId="14" applyNumberFormat="1" applyFont="1" applyFill="1" applyBorder="1" applyAlignment="1">
      <alignment horizontal="center" wrapText="1"/>
    </xf>
    <xf numFmtId="0" fontId="25" fillId="0" borderId="0" xfId="10" applyFont="1" applyFill="1" applyBorder="1" applyAlignment="1" applyProtection="1"/>
    <xf numFmtId="0" fontId="9" fillId="0" borderId="0" xfId="10" applyFont="1" applyAlignment="1"/>
    <xf numFmtId="0" fontId="8" fillId="0" borderId="0" xfId="10" applyFont="1" applyAlignment="1">
      <alignment horizontal="center"/>
    </xf>
    <xf numFmtId="0" fontId="8" fillId="5" borderId="4" xfId="10" applyFont="1" applyFill="1" applyBorder="1" applyAlignment="1">
      <alignment vertical="center"/>
    </xf>
    <xf numFmtId="0" fontId="9" fillId="5" borderId="0" xfId="10" applyFont="1" applyFill="1" applyBorder="1" applyAlignment="1">
      <alignment vertical="center"/>
    </xf>
    <xf numFmtId="0" fontId="8"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9" fillId="0" borderId="4" xfId="10" applyFont="1" applyFill="1" applyBorder="1" applyAlignment="1" applyProtection="1">
      <alignment horizontal="center" vertical="center" wrapText="1"/>
    </xf>
    <xf numFmtId="0" fontId="9" fillId="0" borderId="4" xfId="10" applyFont="1" applyFill="1" applyBorder="1" applyAlignment="1" applyProtection="1">
      <alignment horizontal="left" vertical="center"/>
    </xf>
    <xf numFmtId="0" fontId="8" fillId="0" borderId="4" xfId="10" applyFont="1" applyBorder="1" applyAlignment="1">
      <alignment vertical="top" wrapText="1"/>
    </xf>
    <xf numFmtId="0" fontId="9" fillId="0" borderId="4" xfId="10" applyFont="1" applyBorder="1" applyAlignment="1">
      <alignment horizontal="center" vertical="top"/>
    </xf>
    <xf numFmtId="0" fontId="8" fillId="4" borderId="4" xfId="10" applyFont="1" applyFill="1" applyBorder="1" applyAlignment="1">
      <alignment horizontal="center"/>
    </xf>
    <xf numFmtId="0" fontId="8" fillId="5" borderId="4" xfId="10" applyFont="1" applyFill="1" applyBorder="1" applyAlignment="1">
      <alignment horizontal="left" vertical="top" wrapText="1"/>
    </xf>
    <xf numFmtId="0" fontId="9" fillId="4" borderId="7" xfId="14" applyFont="1" applyFill="1" applyBorder="1" applyAlignment="1">
      <alignment vertical="center" wrapText="1"/>
    </xf>
    <xf numFmtId="0" fontId="9" fillId="4" borderId="7" xfId="14" applyFont="1" applyFill="1" applyBorder="1" applyAlignment="1">
      <alignment vertical="center"/>
    </xf>
    <xf numFmtId="0" fontId="9" fillId="0" borderId="0" xfId="14" applyFont="1" applyAlignment="1">
      <alignment vertical="center"/>
    </xf>
    <xf numFmtId="0" fontId="9" fillId="4" borderId="4" xfId="14" applyFont="1" applyFill="1" applyBorder="1" applyAlignment="1">
      <alignment horizontal="center" vertical="center" wrapText="1"/>
    </xf>
    <xf numFmtId="0" fontId="15" fillId="0" borderId="0" xfId="10" applyFont="1" applyFill="1" applyBorder="1"/>
    <xf numFmtId="0" fontId="10" fillId="0" borderId="0" xfId="10" applyFont="1" applyFill="1" applyBorder="1"/>
    <xf numFmtId="0" fontId="10" fillId="0" borderId="0" xfId="10" applyFont="1" applyFill="1" applyBorder="1" applyAlignment="1">
      <alignment horizontal="centerContinuous"/>
    </xf>
    <xf numFmtId="0" fontId="10" fillId="0" borderId="0" xfId="10" applyFont="1" applyFill="1" applyBorder="1" applyAlignment="1">
      <alignment horizontal="centerContinuous" vertical="top"/>
    </xf>
    <xf numFmtId="0" fontId="11" fillId="0" borderId="0" xfId="10" applyFont="1" applyFill="1" applyBorder="1" applyAlignment="1">
      <alignment horizontal="centerContinuous"/>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2" fontId="10" fillId="0" borderId="4" xfId="0" applyNumberFormat="1" applyFont="1" applyFill="1" applyBorder="1" applyAlignment="1">
      <alignment horizontal="center" vertical="center"/>
    </xf>
    <xf numFmtId="2" fontId="10" fillId="0" borderId="4" xfId="0" applyNumberFormat="1" applyFont="1" applyFill="1" applyBorder="1" applyAlignment="1">
      <alignment vertical="center"/>
    </xf>
    <xf numFmtId="0" fontId="10"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center"/>
    </xf>
    <xf numFmtId="0" fontId="10" fillId="0" borderId="0" xfId="10" applyFont="1" applyFill="1" applyBorder="1" applyAlignment="1">
      <alignment horizontal="center"/>
    </xf>
    <xf numFmtId="0" fontId="10" fillId="0" borderId="0" xfId="10" applyFont="1" applyFill="1" applyBorder="1" applyAlignment="1">
      <alignment horizontal="center" vertical="top"/>
    </xf>
    <xf numFmtId="0" fontId="11" fillId="0" borderId="0" xfId="10" applyFont="1" applyFill="1" applyBorder="1" applyAlignment="1">
      <alignment horizontal="center"/>
    </xf>
    <xf numFmtId="0" fontId="11" fillId="0" borderId="0" xfId="14" applyFont="1" applyFill="1">
      <alignment vertical="center"/>
    </xf>
    <xf numFmtId="0" fontId="9" fillId="4" borderId="4" xfId="14" applyFont="1" applyFill="1" applyBorder="1" applyAlignment="1">
      <alignment horizontal="center" vertical="center" wrapText="1"/>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5" borderId="0" xfId="10" applyFont="1" applyFill="1" applyBorder="1" applyAlignment="1">
      <alignment horizontal="center" vertical="center"/>
    </xf>
    <xf numFmtId="0" fontId="9" fillId="5" borderId="0" xfId="10" applyFont="1" applyFill="1" applyBorder="1" applyAlignment="1" applyProtection="1">
      <alignment vertical="top" wrapText="1"/>
    </xf>
    <xf numFmtId="0" fontId="8" fillId="5" borderId="0" xfId="14" applyFont="1" applyFill="1" applyBorder="1">
      <alignment vertical="center"/>
    </xf>
    <xf numFmtId="0" fontId="8" fillId="6" borderId="6" xfId="10" applyFont="1" applyFill="1" applyBorder="1" applyAlignment="1">
      <alignment horizontal="left" vertical="center"/>
    </xf>
    <xf numFmtId="0" fontId="8" fillId="9" borderId="4" xfId="14" applyFont="1" applyFill="1" applyBorder="1" applyAlignment="1">
      <alignment horizontal="center" vertical="center"/>
    </xf>
    <xf numFmtId="0" fontId="8" fillId="9" borderId="4" xfId="14" applyFont="1" applyFill="1" applyBorder="1">
      <alignment vertical="center"/>
    </xf>
    <xf numFmtId="0" fontId="8" fillId="0" borderId="0" xfId="14" applyFont="1" applyBorder="1">
      <alignment vertical="center"/>
    </xf>
    <xf numFmtId="0" fontId="10" fillId="0" borderId="0" xfId="10" applyFont="1" applyAlignment="1">
      <alignment vertical="center" wrapText="1"/>
    </xf>
    <xf numFmtId="0" fontId="10" fillId="6" borderId="4" xfId="0" applyFont="1" applyFill="1" applyBorder="1" applyAlignment="1">
      <alignment vertical="center" wrapText="1"/>
    </xf>
    <xf numFmtId="0" fontId="18" fillId="0" borderId="0" xfId="10" applyAlignment="1">
      <alignment horizontal="center" vertical="center"/>
    </xf>
    <xf numFmtId="0" fontId="9" fillId="0" borderId="0" xfId="10" applyFont="1" applyBorder="1" applyAlignment="1">
      <alignment horizontal="center" vertical="center"/>
    </xf>
    <xf numFmtId="0" fontId="9" fillId="0" borderId="0" xfId="14" applyFont="1" applyBorder="1">
      <alignment vertical="center"/>
    </xf>
    <xf numFmtId="0" fontId="17" fillId="0" borderId="4" xfId="14" applyFont="1" applyBorder="1" applyAlignment="1">
      <alignment vertical="top"/>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0" borderId="0" xfId="10" applyFont="1" applyBorder="1" applyAlignment="1">
      <alignment vertical="top"/>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0" borderId="0" xfId="10" applyFont="1" applyBorder="1" applyAlignment="1">
      <alignment horizontal="center" vertical="top"/>
    </xf>
    <xf numFmtId="0" fontId="12" fillId="0" borderId="0" xfId="10" applyFont="1" applyFill="1" applyBorder="1"/>
    <xf numFmtId="0" fontId="27" fillId="0" borderId="0" xfId="10" applyFont="1" applyFill="1" applyBorder="1"/>
    <xf numFmtId="0" fontId="9" fillId="0" borderId="0" xfId="10" applyFont="1" applyFill="1" applyBorder="1" applyAlignment="1" applyProtection="1">
      <alignment vertical="top" wrapText="1"/>
    </xf>
    <xf numFmtId="0" fontId="26" fillId="0" borderId="0" xfId="10" applyFont="1"/>
    <xf numFmtId="0" fontId="39" fillId="0" borderId="0" xfId="10" applyFont="1"/>
    <xf numFmtId="0" fontId="8" fillId="0" borderId="4" xfId="14" applyFont="1" applyFill="1" applyBorder="1" applyAlignment="1">
      <alignment horizontal="center" vertical="center"/>
    </xf>
    <xf numFmtId="0" fontId="9" fillId="0" borderId="4" xfId="10" applyFont="1" applyFill="1" applyBorder="1" applyAlignment="1">
      <alignment horizontal="center" vertical="center" wrapText="1"/>
    </xf>
    <xf numFmtId="0" fontId="9" fillId="0" borderId="4" xfId="10" applyFont="1" applyFill="1" applyBorder="1" applyAlignment="1">
      <alignment horizontal="center" vertical="center"/>
    </xf>
    <xf numFmtId="0" fontId="9" fillId="0" borderId="4" xfId="14" applyFont="1" applyFill="1" applyBorder="1">
      <alignment vertical="center"/>
    </xf>
    <xf numFmtId="0" fontId="26" fillId="0" borderId="0" xfId="10" applyFont="1" applyAlignment="1">
      <alignment vertical="center"/>
    </xf>
    <xf numFmtId="0" fontId="9" fillId="0" borderId="0" xfId="14" applyFont="1" applyBorder="1" applyAlignment="1">
      <alignment vertical="top" wrapText="1"/>
    </xf>
    <xf numFmtId="170" fontId="38" fillId="0" borderId="4" xfId="64" applyNumberFormat="1" applyFont="1" applyBorder="1"/>
    <xf numFmtId="170" fontId="40" fillId="10" borderId="4" xfId="64" applyNumberFormat="1" applyFont="1" applyFill="1" applyBorder="1"/>
    <xf numFmtId="170" fontId="38" fillId="13" borderId="4" xfId="64" applyNumberFormat="1" applyFont="1" applyFill="1" applyBorder="1"/>
    <xf numFmtId="165" fontId="40" fillId="10" borderId="4" xfId="64" applyFont="1" applyFill="1" applyBorder="1"/>
    <xf numFmtId="0" fontId="8" fillId="0" borderId="4" xfId="14" applyFont="1" applyBorder="1" applyAlignment="1">
      <alignment horizontal="center" vertical="center" wrapText="1"/>
    </xf>
    <xf numFmtId="0" fontId="8" fillId="0" borderId="0" xfId="14" applyFont="1" applyAlignment="1">
      <alignment horizontal="left" vertical="center"/>
    </xf>
    <xf numFmtId="0" fontId="8" fillId="0" borderId="0" xfId="0" applyFont="1"/>
    <xf numFmtId="0" fontId="8" fillId="0" borderId="4" xfId="14" applyFont="1" applyFill="1" applyBorder="1" applyAlignment="1">
      <alignment horizontal="left" vertical="center" wrapText="1"/>
    </xf>
    <xf numFmtId="0" fontId="9" fillId="4"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170" fontId="38" fillId="6" borderId="4" xfId="64" applyNumberFormat="1" applyFont="1" applyFill="1" applyBorder="1"/>
    <xf numFmtId="170" fontId="38" fillId="8" borderId="4" xfId="64" applyNumberFormat="1" applyFont="1" applyFill="1" applyBorder="1"/>
    <xf numFmtId="0" fontId="12" fillId="0" borderId="0" xfId="10" applyFont="1" applyAlignment="1">
      <alignment horizontal="left"/>
    </xf>
    <xf numFmtId="0" fontId="9" fillId="0" borderId="0" xfId="10" applyFont="1" applyAlignment="1">
      <alignment horizontal="right"/>
    </xf>
    <xf numFmtId="0" fontId="9" fillId="4" borderId="4" xfId="68" applyFont="1" applyFill="1" applyBorder="1" applyAlignment="1">
      <alignment horizontal="center" vertical="center" wrapText="1"/>
    </xf>
    <xf numFmtId="0" fontId="8" fillId="0" borderId="4" xfId="10" applyFont="1" applyBorder="1" applyAlignment="1">
      <alignment horizontal="left" vertical="top"/>
    </xf>
    <xf numFmtId="0" fontId="8" fillId="0" borderId="4" xfId="10" applyFont="1" applyBorder="1" applyAlignment="1">
      <alignment horizontal="left" vertical="top" wrapText="1"/>
    </xf>
    <xf numFmtId="0" fontId="9" fillId="4" borderId="4" xfId="31" applyFont="1" applyFill="1" applyBorder="1" applyAlignment="1">
      <alignment horizontal="center" vertical="center" wrapText="1"/>
    </xf>
    <xf numFmtId="0" fontId="25" fillId="0" borderId="0" xfId="10" applyFont="1" applyAlignment="1">
      <alignment horizontal="left"/>
    </xf>
    <xf numFmtId="0" fontId="9" fillId="4" borderId="4" xfId="31" quotePrefix="1" applyFont="1" applyFill="1" applyBorder="1" applyAlignment="1">
      <alignment horizontal="center" vertical="center" wrapText="1"/>
    </xf>
    <xf numFmtId="0" fontId="9" fillId="0" borderId="0" xfId="10" applyFont="1" applyAlignment="1">
      <alignment horizontal="left" vertical="top"/>
    </xf>
    <xf numFmtId="0" fontId="9" fillId="6" borderId="0" xfId="10" applyFont="1" applyFill="1" applyAlignment="1">
      <alignment horizontal="left" vertical="top"/>
    </xf>
    <xf numFmtId="0" fontId="25" fillId="6" borderId="0" xfId="10" applyFont="1" applyFill="1" applyAlignment="1">
      <alignment horizontal="left"/>
    </xf>
    <xf numFmtId="0" fontId="8" fillId="6" borderId="0" xfId="14" applyFont="1" applyFill="1">
      <alignment vertical="center"/>
    </xf>
    <xf numFmtId="0" fontId="8" fillId="6" borderId="4" xfId="10" applyFont="1" applyFill="1" applyBorder="1"/>
    <xf numFmtId="0" fontId="8" fillId="0" borderId="0" xfId="68" applyFont="1">
      <alignment vertical="center"/>
    </xf>
    <xf numFmtId="0" fontId="8" fillId="0" borderId="4" xfId="68" applyFont="1" applyBorder="1">
      <alignment vertical="center"/>
    </xf>
    <xf numFmtId="0" fontId="8" fillId="0" borderId="4" xfId="68" applyFont="1" applyBorder="1" applyAlignment="1">
      <alignment horizontal="center" vertical="center"/>
    </xf>
    <xf numFmtId="0" fontId="9" fillId="0" borderId="4" xfId="68" applyFont="1" applyBorder="1">
      <alignment vertical="center"/>
    </xf>
    <xf numFmtId="0" fontId="9" fillId="0" borderId="0" xfId="68" applyFont="1">
      <alignment vertical="center"/>
    </xf>
    <xf numFmtId="0" fontId="9" fillId="0" borderId="4" xfId="31" applyFont="1" applyBorder="1" applyAlignment="1">
      <alignment horizontal="center" vertical="center" wrapText="1"/>
    </xf>
    <xf numFmtId="0" fontId="9" fillId="0" borderId="7" xfId="31" applyFont="1" applyBorder="1" applyAlignment="1">
      <alignment horizontal="center" vertical="center" wrapText="1"/>
    </xf>
    <xf numFmtId="0" fontId="9" fillId="0" borderId="6" xfId="68" applyFont="1" applyBorder="1" applyAlignment="1">
      <alignment horizontal="center" vertical="center"/>
    </xf>
    <xf numFmtId="0" fontId="9" fillId="7" borderId="4" xfId="31" applyFont="1" applyFill="1" applyBorder="1" applyAlignment="1">
      <alignment horizontal="center" vertical="center" wrapText="1"/>
    </xf>
    <xf numFmtId="0" fontId="9" fillId="7" borderId="7" xfId="31" applyFont="1" applyFill="1" applyBorder="1" applyAlignment="1">
      <alignment horizontal="center" vertical="center" wrapText="1"/>
    </xf>
    <xf numFmtId="0" fontId="8" fillId="0" borderId="0" xfId="68" applyFont="1" applyAlignment="1">
      <alignment horizontal="center" vertical="center"/>
    </xf>
    <xf numFmtId="0" fontId="9" fillId="0" borderId="0" xfId="68" applyFont="1" applyAlignment="1">
      <alignment horizontal="left" vertical="center"/>
    </xf>
    <xf numFmtId="0" fontId="9" fillId="0" borderId="0" xfId="10" applyFont="1" applyAlignment="1">
      <alignment vertical="top"/>
    </xf>
    <xf numFmtId="0" fontId="17" fillId="6" borderId="4" xfId="14" applyFont="1" applyFill="1" applyBorder="1">
      <alignment vertical="center"/>
    </xf>
    <xf numFmtId="0" fontId="17" fillId="6" borderId="4" xfId="14" applyFont="1" applyFill="1" applyBorder="1" applyAlignment="1">
      <alignment horizontal="left" vertical="center"/>
    </xf>
    <xf numFmtId="0" fontId="10" fillId="6" borderId="0" xfId="14" applyFont="1" applyFill="1">
      <alignment vertical="center"/>
    </xf>
    <xf numFmtId="0" fontId="8" fillId="6" borderId="4" xfId="14" applyFont="1" applyFill="1" applyBorder="1" applyAlignment="1">
      <alignment horizontal="left" vertical="center" wrapText="1" indent="1"/>
    </xf>
    <xf numFmtId="0" fontId="8" fillId="6" borderId="4" xfId="14" applyFont="1" applyFill="1" applyBorder="1" applyAlignment="1">
      <alignment horizontal="left" vertical="center" wrapText="1" indent="2"/>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7" borderId="4" xfId="31" applyFont="1" applyFill="1" applyBorder="1" applyAlignment="1">
      <alignment horizontal="center" vertical="center" wrapText="1"/>
    </xf>
    <xf numFmtId="2" fontId="8" fillId="5" borderId="4" xfId="14" applyNumberFormat="1" applyFont="1" applyFill="1" applyBorder="1" applyAlignment="1">
      <alignment horizontal="center" vertical="center" wrapText="1"/>
    </xf>
    <xf numFmtId="168" fontId="8" fillId="5" borderId="4" xfId="14" applyNumberFormat="1" applyFont="1" applyFill="1" applyBorder="1" applyAlignment="1">
      <alignment horizontal="center" wrapText="1"/>
    </xf>
    <xf numFmtId="0" fontId="9" fillId="0" borderId="4" xfId="14" applyFont="1" applyFill="1" applyBorder="1" applyAlignment="1">
      <alignment horizontal="center" vertical="center" wrapText="1"/>
    </xf>
    <xf numFmtId="0" fontId="9" fillId="7" borderId="4" xfId="14" applyFont="1" applyFill="1" applyBorder="1" applyAlignment="1">
      <alignment horizontal="center" vertical="center"/>
    </xf>
    <xf numFmtId="0" fontId="8" fillId="6" borderId="0" xfId="10" applyFont="1" applyFill="1" applyBorder="1" applyAlignment="1">
      <alignment horizontal="center"/>
    </xf>
    <xf numFmtId="0" fontId="41" fillId="0" borderId="0" xfId="14" applyFont="1">
      <alignment vertical="center"/>
    </xf>
    <xf numFmtId="0" fontId="8" fillId="5" borderId="4" xfId="10" applyFont="1" applyFill="1" applyBorder="1" applyAlignment="1" applyProtection="1">
      <alignment horizont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43" fontId="8" fillId="0" borderId="4" xfId="69" applyFont="1" applyFill="1" applyBorder="1" applyAlignment="1">
      <alignment horizontal="left" vertical="center"/>
    </xf>
    <xf numFmtId="43" fontId="8" fillId="0" borderId="4" xfId="69" applyFont="1" applyBorder="1" applyAlignment="1">
      <alignment vertical="center"/>
    </xf>
    <xf numFmtId="43" fontId="8" fillId="6" borderId="4" xfId="69" applyFont="1" applyFill="1" applyBorder="1" applyAlignment="1">
      <alignment vertical="center"/>
    </xf>
    <xf numFmtId="43" fontId="8" fillId="0" borderId="4" xfId="14" applyNumberFormat="1" applyFont="1" applyBorder="1">
      <alignment vertical="center"/>
    </xf>
    <xf numFmtId="172" fontId="8" fillId="5" borderId="4" xfId="10" applyNumberFormat="1" applyFont="1" applyFill="1" applyBorder="1" applyAlignment="1">
      <alignment horizontal="center"/>
    </xf>
    <xf numFmtId="173" fontId="8" fillId="5" borderId="4" xfId="10" applyNumberFormat="1" applyFont="1" applyFill="1" applyBorder="1" applyAlignment="1">
      <alignment horizontal="center"/>
    </xf>
    <xf numFmtId="0" fontId="9" fillId="0" borderId="4" xfId="10" applyFont="1" applyFill="1" applyBorder="1" applyAlignment="1" applyProtection="1">
      <alignment horizontal="left"/>
    </xf>
    <xf numFmtId="43" fontId="9" fillId="5" borderId="4" xfId="69" applyFont="1" applyFill="1" applyBorder="1" applyAlignment="1" applyProtection="1">
      <alignment horizontal="left"/>
    </xf>
    <xf numFmtId="2" fontId="8" fillId="0" borderId="4" xfId="14" applyNumberFormat="1" applyFont="1" applyBorder="1">
      <alignment vertical="center"/>
    </xf>
    <xf numFmtId="0" fontId="9" fillId="0" borderId="4" xfId="14" applyFont="1" applyFill="1" applyBorder="1" applyAlignment="1">
      <alignment horizontal="center" vertical="center"/>
    </xf>
    <xf numFmtId="0" fontId="8" fillId="0" borderId="0" xfId="14" applyFont="1" applyFill="1">
      <alignment vertical="center"/>
    </xf>
    <xf numFmtId="0" fontId="9" fillId="7" borderId="4" xfId="14" applyFont="1" applyFill="1" applyBorder="1" applyAlignment="1">
      <alignment horizontal="center" vertical="center" wrapText="1"/>
    </xf>
    <xf numFmtId="43" fontId="9" fillId="0" borderId="4" xfId="69" applyFont="1" applyBorder="1"/>
    <xf numFmtId="43" fontId="8" fillId="5" borderId="4" xfId="69" applyFont="1" applyFill="1" applyBorder="1" applyAlignment="1" applyProtection="1">
      <alignment horizontal="left"/>
    </xf>
    <xf numFmtId="43" fontId="8" fillId="0" borderId="4" xfId="69" applyFont="1" applyFill="1" applyBorder="1" applyAlignment="1">
      <alignment vertical="center"/>
    </xf>
    <xf numFmtId="43" fontId="26" fillId="0" borderId="4" xfId="69" applyFont="1" applyFill="1" applyBorder="1" applyAlignment="1">
      <alignment horizontal="center" vertical="center"/>
    </xf>
    <xf numFmtId="43" fontId="18" fillId="0" borderId="4" xfId="69" applyFont="1" applyFill="1" applyBorder="1" applyAlignment="1">
      <alignment horizontal="center" vertical="center" wrapText="1"/>
    </xf>
    <xf numFmtId="43" fontId="8" fillId="0" borderId="0" xfId="69" applyFont="1" applyBorder="1" applyAlignment="1">
      <alignment vertical="center"/>
    </xf>
    <xf numFmtId="43" fontId="8" fillId="0" borderId="4" xfId="69" applyFont="1" applyFill="1" applyBorder="1" applyAlignment="1" applyProtection="1">
      <alignment horizontal="left" vertical="center"/>
    </xf>
    <xf numFmtId="43" fontId="8" fillId="0" borderId="0" xfId="69" applyFont="1" applyFill="1" applyBorder="1" applyAlignment="1">
      <alignment vertical="center"/>
    </xf>
    <xf numFmtId="43" fontId="9" fillId="0" borderId="4" xfId="69" applyFont="1" applyBorder="1" applyAlignment="1">
      <alignment vertical="center"/>
    </xf>
    <xf numFmtId="43" fontId="8" fillId="0" borderId="0" xfId="69" applyFont="1" applyAlignment="1">
      <alignment vertical="center"/>
    </xf>
    <xf numFmtId="43" fontId="8" fillId="0" borderId="4" xfId="69" applyFont="1" applyBorder="1" applyAlignment="1">
      <alignment vertical="top" wrapText="1"/>
    </xf>
    <xf numFmtId="9" fontId="8" fillId="0" borderId="4" xfId="14" applyNumberFormat="1" applyFont="1" applyBorder="1">
      <alignment vertical="center"/>
    </xf>
    <xf numFmtId="9" fontId="8" fillId="0" borderId="4" xfId="70" applyFont="1" applyBorder="1" applyAlignment="1">
      <alignment vertical="center"/>
    </xf>
    <xf numFmtId="43" fontId="10" fillId="0" borderId="4" xfId="69" applyFont="1" applyBorder="1" applyAlignment="1">
      <alignment vertical="center"/>
    </xf>
    <xf numFmtId="2" fontId="10" fillId="0" borderId="4" xfId="14" applyNumberFormat="1" applyFont="1" applyBorder="1">
      <alignment vertical="center"/>
    </xf>
    <xf numFmtId="43" fontId="10" fillId="0" borderId="4" xfId="14" applyNumberFormat="1" applyFont="1" applyBorder="1">
      <alignment vertical="center"/>
    </xf>
    <xf numFmtId="43" fontId="10" fillId="0" borderId="4" xfId="69" applyFont="1" applyFill="1" applyBorder="1" applyAlignment="1">
      <alignment vertical="center"/>
    </xf>
    <xf numFmtId="43" fontId="10" fillId="0" borderId="0" xfId="69" applyFont="1"/>
    <xf numFmtId="43" fontId="8" fillId="0" borderId="4" xfId="69" quotePrefix="1" applyFont="1" applyFill="1" applyBorder="1" applyAlignment="1">
      <alignment horizontal="left" vertical="center"/>
    </xf>
    <xf numFmtId="0" fontId="9" fillId="7" borderId="4" xfId="14" applyFont="1" applyFill="1" applyBorder="1" applyAlignment="1">
      <alignment horizontal="center" vertical="center" wrapText="1"/>
    </xf>
    <xf numFmtId="0" fontId="8" fillId="0" borderId="0" xfId="14" applyFont="1" applyFill="1" applyBorder="1" applyAlignment="1">
      <alignment horizontal="centerContinuous" vertical="center"/>
    </xf>
    <xf numFmtId="0" fontId="8" fillId="0" borderId="0" xfId="10" applyFont="1" applyFill="1" applyBorder="1" applyAlignment="1">
      <alignment horizontal="center"/>
    </xf>
    <xf numFmtId="0" fontId="9" fillId="0" borderId="0" xfId="14" applyFont="1" applyAlignment="1">
      <alignment horizontal="center" vertical="center"/>
    </xf>
    <xf numFmtId="0" fontId="9" fillId="0" borderId="0" xfId="10" applyFont="1" applyBorder="1" applyAlignment="1">
      <alignment horizontal="center" vertical="center"/>
    </xf>
    <xf numFmtId="9" fontId="8" fillId="5" borderId="4" xfId="70" applyFont="1" applyFill="1" applyBorder="1" applyAlignment="1">
      <alignment horizontal="center" vertical="center" wrapText="1"/>
    </xf>
    <xf numFmtId="10" fontId="8" fillId="5" borderId="4" xfId="70" applyNumberFormat="1" applyFont="1" applyFill="1" applyBorder="1" applyAlignment="1">
      <alignment horizontal="center" vertical="center" wrapText="1"/>
    </xf>
    <xf numFmtId="0" fontId="13" fillId="0" borderId="4" xfId="10" applyFont="1" applyBorder="1" applyAlignment="1">
      <alignment horizontal="center" vertical="center" wrapText="1"/>
    </xf>
    <xf numFmtId="0" fontId="13" fillId="0" borderId="4" xfId="10" applyFont="1" applyBorder="1" applyAlignment="1">
      <alignment horizontal="left" vertical="center"/>
    </xf>
    <xf numFmtId="166" fontId="8" fillId="0" borderId="4" xfId="10" applyNumberFormat="1" applyFont="1" applyFill="1" applyBorder="1" applyProtection="1"/>
    <xf numFmtId="0" fontId="13" fillId="5" borderId="4" xfId="10" applyFont="1" applyFill="1" applyBorder="1" applyAlignment="1">
      <alignment horizontal="center" vertical="top"/>
    </xf>
    <xf numFmtId="0" fontId="13" fillId="0" borderId="4" xfId="10" applyFont="1" applyFill="1" applyBorder="1" applyAlignment="1" applyProtection="1">
      <alignment horizontal="left"/>
    </xf>
    <xf numFmtId="0" fontId="17" fillId="5" borderId="4" xfId="10" applyFont="1" applyFill="1" applyBorder="1" applyAlignment="1">
      <alignment horizontal="center" vertical="top"/>
    </xf>
    <xf numFmtId="43" fontId="8" fillId="0" borderId="4" xfId="69" applyFont="1" applyBorder="1"/>
    <xf numFmtId="2" fontId="8" fillId="5" borderId="0" xfId="10" applyNumberFormat="1" applyFont="1" applyFill="1" applyBorder="1"/>
    <xf numFmtId="43" fontId="9" fillId="0" borderId="4" xfId="69" applyFont="1" applyBorder="1" applyAlignment="1">
      <alignment horizontal="left" vertical="top"/>
    </xf>
    <xf numFmtId="0" fontId="8" fillId="16" borderId="4" xfId="14" applyFont="1" applyFill="1" applyBorder="1" applyAlignment="1">
      <alignment horizontal="center" vertical="center"/>
    </xf>
    <xf numFmtId="0" fontId="8" fillId="16" borderId="4" xfId="10" applyFont="1" applyFill="1" applyBorder="1" applyAlignment="1" applyProtection="1">
      <alignment horizontal="left"/>
    </xf>
    <xf numFmtId="43" fontId="8" fillId="16" borderId="4" xfId="69" applyFont="1" applyFill="1" applyBorder="1" applyAlignment="1" applyProtection="1">
      <alignment horizontal="left"/>
    </xf>
    <xf numFmtId="0" fontId="8" fillId="16" borderId="4" xfId="14" applyFont="1" applyFill="1" applyBorder="1">
      <alignment vertical="center"/>
    </xf>
    <xf numFmtId="43" fontId="35" fillId="16" borderId="4" xfId="69" applyFont="1" applyFill="1" applyBorder="1"/>
    <xf numFmtId="43" fontId="8" fillId="0" borderId="4" xfId="69" applyFont="1" applyFill="1" applyBorder="1" applyAlignment="1" applyProtection="1">
      <alignment horizontal="left"/>
    </xf>
    <xf numFmtId="43" fontId="8" fillId="16" borderId="4" xfId="69" applyFont="1" applyFill="1" applyBorder="1" applyAlignment="1">
      <alignment vertical="center"/>
    </xf>
    <xf numFmtId="0" fontId="8" fillId="0" borderId="4" xfId="14" applyNumberFormat="1" applyFont="1" applyBorder="1">
      <alignment vertical="center"/>
    </xf>
    <xf numFmtId="43" fontId="11" fillId="0" borderId="4" xfId="69" applyFont="1" applyFill="1" applyBorder="1" applyAlignment="1">
      <alignment vertical="center"/>
    </xf>
    <xf numFmtId="43" fontId="11" fillId="0" borderId="4" xfId="69" applyFont="1" applyFill="1" applyBorder="1" applyAlignment="1">
      <alignment horizontal="center" vertical="center" wrapText="1"/>
    </xf>
    <xf numFmtId="43" fontId="11" fillId="0" borderId="4" xfId="69" applyFont="1" applyFill="1" applyBorder="1" applyAlignment="1">
      <alignment horizontal="center" vertical="center"/>
    </xf>
    <xf numFmtId="43" fontId="11" fillId="0" borderId="4" xfId="69" applyFont="1" applyFill="1" applyBorder="1" applyAlignment="1">
      <alignment horizontal="right" vertical="center"/>
    </xf>
    <xf numFmtId="43" fontId="10" fillId="0" borderId="4" xfId="69" applyFont="1" applyFill="1" applyBorder="1" applyAlignment="1">
      <alignment horizontal="right" vertical="center"/>
    </xf>
    <xf numFmtId="43" fontId="9" fillId="0" borderId="4" xfId="69" applyFont="1" applyBorder="1" applyAlignment="1">
      <alignment vertical="top" wrapText="1"/>
    </xf>
    <xf numFmtId="0" fontId="8" fillId="0" borderId="0" xfId="10" applyFont="1" applyFill="1" applyAlignment="1">
      <alignment vertical="center"/>
    </xf>
    <xf numFmtId="0" fontId="8" fillId="0" borderId="0" xfId="10" applyFont="1" applyFill="1" applyAlignment="1">
      <alignment vertical="top"/>
    </xf>
    <xf numFmtId="174" fontId="8" fillId="0" borderId="4" xfId="14" applyNumberFormat="1" applyFont="1" applyBorder="1">
      <alignment vertical="center"/>
    </xf>
    <xf numFmtId="10" fontId="35" fillId="6" borderId="4" xfId="70" applyNumberFormat="1" applyFont="1" applyFill="1" applyBorder="1"/>
    <xf numFmtId="10" fontId="8" fillId="0" borderId="4" xfId="70" applyNumberFormat="1" applyFont="1" applyBorder="1" applyAlignment="1">
      <alignment vertical="center"/>
    </xf>
    <xf numFmtId="43" fontId="9" fillId="0" borderId="4" xfId="69" applyFont="1" applyFill="1" applyBorder="1" applyAlignment="1">
      <alignment vertical="center"/>
    </xf>
    <xf numFmtId="43" fontId="8" fillId="0" borderId="0" xfId="14" applyNumberFormat="1" applyFont="1">
      <alignment vertical="center"/>
    </xf>
    <xf numFmtId="0" fontId="47" fillId="0" borderId="0" xfId="14" applyFont="1">
      <alignment vertical="center"/>
    </xf>
    <xf numFmtId="43" fontId="47" fillId="0" borderId="0" xfId="14" applyNumberFormat="1" applyFont="1">
      <alignment vertical="center"/>
    </xf>
    <xf numFmtId="9" fontId="8" fillId="6" borderId="4" xfId="70" applyFont="1" applyFill="1" applyBorder="1" applyAlignment="1">
      <alignment horizontal="left" vertical="center" wrapText="1"/>
    </xf>
    <xf numFmtId="9" fontId="8" fillId="0" borderId="0" xfId="70" applyFont="1" applyBorder="1" applyAlignment="1">
      <alignment vertical="top"/>
    </xf>
    <xf numFmtId="10" fontId="8" fillId="6" borderId="4" xfId="70" applyNumberFormat="1" applyFont="1" applyFill="1" applyBorder="1" applyAlignment="1">
      <alignment vertical="center" wrapText="1"/>
    </xf>
    <xf numFmtId="10" fontId="8" fillId="0" borderId="0" xfId="70" applyNumberFormat="1" applyFont="1" applyBorder="1" applyAlignment="1">
      <alignment vertical="top"/>
    </xf>
    <xf numFmtId="175" fontId="8" fillId="5" borderId="4" xfId="69" applyNumberFormat="1" applyFont="1" applyFill="1" applyBorder="1" applyAlignment="1">
      <alignment horizontal="center" vertical="center" wrapText="1"/>
    </xf>
    <xf numFmtId="175" fontId="8" fillId="5" borderId="4" xfId="70" applyNumberFormat="1" applyFont="1" applyFill="1" applyBorder="1" applyAlignment="1">
      <alignment horizontal="center" vertical="center" wrapText="1"/>
    </xf>
    <xf numFmtId="0" fontId="9" fillId="0" borderId="4" xfId="14" quotePrefix="1" applyFont="1" applyFill="1" applyBorder="1" applyAlignment="1">
      <alignment horizontal="center" vertical="center" wrapText="1"/>
    </xf>
    <xf numFmtId="0" fontId="26" fillId="0" borderId="0" xfId="10" applyFont="1" applyFill="1" applyBorder="1" applyAlignment="1">
      <alignment vertical="top" wrapText="1"/>
    </xf>
    <xf numFmtId="0" fontId="31" fillId="0" borderId="4" xfId="10" applyFont="1" applyFill="1" applyBorder="1" applyAlignment="1"/>
    <xf numFmtId="0" fontId="30" fillId="0" borderId="4" xfId="10" applyFont="1" applyFill="1" applyBorder="1" applyAlignment="1"/>
    <xf numFmtId="0" fontId="9" fillId="4" borderId="4" xfId="14" applyFont="1" applyFill="1" applyBorder="1" applyAlignment="1">
      <alignment horizontal="center" vertical="center" wrapText="1"/>
    </xf>
    <xf numFmtId="0" fontId="8" fillId="0" borderId="4" xfId="14" quotePrefix="1" applyFont="1" applyFill="1" applyBorder="1" applyAlignment="1">
      <alignment vertical="center" wrapText="1"/>
    </xf>
    <xf numFmtId="0" fontId="9" fillId="0" borderId="4" xfId="10" applyFont="1" applyFill="1" applyBorder="1" applyAlignment="1">
      <alignment vertical="center"/>
    </xf>
    <xf numFmtId="0" fontId="9" fillId="0" borderId="4" xfId="14" applyFont="1" applyFill="1" applyBorder="1" applyAlignment="1">
      <alignment vertical="center"/>
    </xf>
    <xf numFmtId="43" fontId="9" fillId="0" borderId="4" xfId="14" applyNumberFormat="1" applyFont="1" applyFill="1" applyBorder="1" applyAlignment="1">
      <alignment vertical="center"/>
    </xf>
    <xf numFmtId="9" fontId="9" fillId="0" borderId="4" xfId="14" applyNumberFormat="1" applyFont="1" applyFill="1" applyBorder="1" applyAlignment="1">
      <alignment horizontal="center" vertical="center"/>
    </xf>
    <xf numFmtId="9" fontId="8" fillId="0" borderId="4" xfId="14" applyNumberFormat="1" applyFont="1" applyFill="1" applyBorder="1" applyAlignment="1">
      <alignment horizontal="center" vertical="center"/>
    </xf>
    <xf numFmtId="43" fontId="8" fillId="5" borderId="4" xfId="69" applyFont="1" applyFill="1" applyBorder="1" applyAlignment="1">
      <alignment vertical="center"/>
    </xf>
    <xf numFmtId="43" fontId="8" fillId="5" borderId="4" xfId="14" applyNumberFormat="1" applyFont="1" applyFill="1" applyBorder="1">
      <alignment vertical="center"/>
    </xf>
    <xf numFmtId="0" fontId="8" fillId="0" borderId="4" xfId="10" applyFont="1" applyFill="1" applyBorder="1" applyAlignment="1">
      <alignment horizontal="left" vertical="center"/>
    </xf>
    <xf numFmtId="9" fontId="10" fillId="0" borderId="4" xfId="14" applyNumberFormat="1" applyFont="1" applyBorder="1">
      <alignment vertical="center"/>
    </xf>
    <xf numFmtId="0" fontId="14" fillId="0" borderId="0" xfId="14" applyFont="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5" borderId="4" xfId="10" applyFont="1" applyFill="1" applyBorder="1" applyAlignment="1">
      <alignment horizontal="left"/>
    </xf>
    <xf numFmtId="176" fontId="8" fillId="5" borderId="4" xfId="69" applyNumberFormat="1" applyFont="1" applyFill="1" applyBorder="1" applyAlignment="1" applyProtection="1">
      <alignment horizontal="left"/>
    </xf>
    <xf numFmtId="176" fontId="9" fillId="5" borderId="4" xfId="69" applyNumberFormat="1" applyFont="1" applyFill="1" applyBorder="1" applyAlignment="1" applyProtection="1">
      <alignment horizontal="left"/>
    </xf>
    <xf numFmtId="176" fontId="8" fillId="5" borderId="0" xfId="69" applyNumberFormat="1" applyFont="1" applyFill="1" applyBorder="1" applyAlignment="1" applyProtection="1">
      <alignment horizontal="left"/>
    </xf>
    <xf numFmtId="176" fontId="14" fillId="5" borderId="0" xfId="69" applyNumberFormat="1" applyFont="1" applyFill="1" applyBorder="1" applyAlignment="1" applyProtection="1">
      <alignment horizontal="left"/>
    </xf>
    <xf numFmtId="176" fontId="8" fillId="0" borderId="0" xfId="69" applyNumberFormat="1" applyFont="1" applyFill="1" applyBorder="1" applyAlignment="1" applyProtection="1">
      <alignment vertical="center" wrapText="1"/>
    </xf>
    <xf numFmtId="0" fontId="8" fillId="0" borderId="0" xfId="10" applyFont="1" applyAlignment="1">
      <alignment vertical="center" wrapText="1"/>
    </xf>
    <xf numFmtId="176" fontId="9" fillId="7" borderId="4" xfId="69" applyNumberFormat="1" applyFont="1" applyFill="1" applyBorder="1" applyAlignment="1">
      <alignment horizontal="center" vertical="center"/>
    </xf>
    <xf numFmtId="176" fontId="9" fillId="7" borderId="4"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4" xfId="14" applyFont="1" applyBorder="1" applyAlignment="1"/>
    <xf numFmtId="176" fontId="14" fillId="0" borderId="0" xfId="69" applyNumberFormat="1" applyFont="1" applyFill="1" applyBorder="1" applyAlignment="1" applyProtection="1">
      <alignment vertical="center" wrapText="1"/>
    </xf>
    <xf numFmtId="0" fontId="14" fillId="0" borderId="0" xfId="10" applyFont="1" applyAlignment="1">
      <alignment vertical="center" wrapText="1"/>
    </xf>
    <xf numFmtId="176" fontId="8" fillId="0" borderId="0" xfId="69" applyNumberFormat="1" applyFont="1" applyAlignment="1">
      <alignment vertical="center"/>
    </xf>
    <xf numFmtId="176" fontId="8" fillId="0" borderId="4" xfId="69" applyNumberFormat="1" applyFont="1" applyBorder="1" applyAlignment="1">
      <alignment vertical="center"/>
    </xf>
    <xf numFmtId="0" fontId="6" fillId="0" borderId="7" xfId="0" applyFont="1" applyBorder="1"/>
    <xf numFmtId="2" fontId="8" fillId="0" borderId="4" xfId="10" applyNumberFormat="1" applyFont="1" applyBorder="1"/>
    <xf numFmtId="0" fontId="8" fillId="5" borderId="4" xfId="10" applyFont="1" applyFill="1" applyBorder="1" applyAlignment="1">
      <alignment horizontal="left"/>
    </xf>
    <xf numFmtId="0" fontId="8" fillId="6" borderId="4" xfId="10" applyFont="1" applyFill="1" applyBorder="1" applyAlignment="1">
      <alignment horizontal="left"/>
    </xf>
    <xf numFmtId="0" fontId="8" fillId="0" borderId="4" xfId="10" applyFont="1" applyBorder="1" applyAlignment="1">
      <alignment horizontal="left"/>
    </xf>
    <xf numFmtId="0" fontId="0" fillId="0" borderId="7" xfId="0" applyBorder="1" applyAlignment="1">
      <alignment wrapText="1"/>
    </xf>
    <xf numFmtId="0" fontId="6" fillId="0" borderId="7" xfId="0" applyFont="1" applyBorder="1" applyAlignment="1">
      <alignment wrapText="1"/>
    </xf>
    <xf numFmtId="176" fontId="8" fillId="0" borderId="4" xfId="69" applyNumberFormat="1" applyFont="1" applyFill="1" applyBorder="1" applyAlignment="1" applyProtection="1">
      <alignment vertical="center" wrapText="1"/>
    </xf>
    <xf numFmtId="0" fontId="8" fillId="0" borderId="4" xfId="10" applyFont="1" applyBorder="1" applyAlignment="1">
      <alignment vertical="center" wrapText="1"/>
    </xf>
    <xf numFmtId="0" fontId="10" fillId="0" borderId="7"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6" borderId="4" xfId="71" applyFont="1" applyFill="1" applyBorder="1" applyAlignment="1">
      <alignment vertical="center" wrapText="1"/>
    </xf>
    <xf numFmtId="0" fontId="10" fillId="0" borderId="4" xfId="71" applyFont="1" applyBorder="1" applyAlignment="1">
      <alignment horizontal="center" vertical="center" wrapText="1"/>
    </xf>
    <xf numFmtId="10" fontId="10" fillId="0" borderId="4" xfId="40" applyNumberFormat="1" applyFont="1" applyFill="1" applyBorder="1" applyAlignment="1">
      <alignment horizontal="center" vertical="center"/>
    </xf>
    <xf numFmtId="10" fontId="10" fillId="0" borderId="4" xfId="40" applyNumberFormat="1" applyFont="1" applyBorder="1" applyAlignment="1">
      <alignment horizontal="center" vertical="center"/>
    </xf>
    <xf numFmtId="43" fontId="10" fillId="0" borderId="4" xfId="69" applyFont="1" applyBorder="1" applyAlignment="1">
      <alignment horizontal="center" vertical="center"/>
    </xf>
    <xf numFmtId="10" fontId="8" fillId="6" borderId="4" xfId="14" applyNumberFormat="1" applyFont="1" applyFill="1" applyBorder="1">
      <alignment vertical="center"/>
    </xf>
    <xf numFmtId="164" fontId="8" fillId="0" borderId="4" xfId="29" applyFont="1" applyBorder="1" applyAlignment="1">
      <alignment vertical="center"/>
    </xf>
    <xf numFmtId="164" fontId="26" fillId="0" borderId="4" xfId="29" applyFont="1" applyFill="1" applyBorder="1" applyAlignment="1">
      <alignment horizontal="center" vertical="center"/>
    </xf>
    <xf numFmtId="164" fontId="8" fillId="0" borderId="4" xfId="29" applyFont="1" applyFill="1" applyBorder="1" applyAlignment="1">
      <alignment vertical="center"/>
    </xf>
    <xf numFmtId="164" fontId="8" fillId="0" borderId="4" xfId="29" applyFont="1" applyBorder="1" applyAlignment="1">
      <alignment horizontal="left" vertical="top"/>
    </xf>
    <xf numFmtId="164" fontId="8" fillId="6" borderId="4" xfId="29" applyFont="1" applyFill="1" applyBorder="1" applyAlignment="1">
      <alignment horizontal="left" vertical="top"/>
    </xf>
    <xf numFmtId="164" fontId="8" fillId="0" borderId="4" xfId="29" applyFont="1" applyBorder="1"/>
    <xf numFmtId="164" fontId="8" fillId="6" borderId="4" xfId="29" applyFont="1" applyFill="1" applyBorder="1" applyAlignment="1">
      <alignment horizontal="left" vertical="top" wrapText="1"/>
    </xf>
    <xf numFmtId="164" fontId="9" fillId="0" borderId="4" xfId="29" applyFont="1" applyBorder="1" applyAlignment="1">
      <alignment horizontal="left" vertical="top"/>
    </xf>
    <xf numFmtId="164" fontId="8" fillId="0" borderId="4" xfId="10" applyNumberFormat="1" applyFont="1" applyBorder="1" applyAlignment="1">
      <alignment horizontal="left" vertical="top"/>
    </xf>
    <xf numFmtId="10" fontId="8" fillId="0" borderId="0" xfId="40" applyNumberFormat="1" applyFont="1" applyBorder="1"/>
    <xf numFmtId="0" fontId="10" fillId="6" borderId="8" xfId="71" applyFont="1" applyFill="1" applyBorder="1" applyAlignment="1">
      <alignment vertical="center" wrapText="1"/>
    </xf>
    <xf numFmtId="43" fontId="10" fillId="0" borderId="0" xfId="14" applyNumberFormat="1" applyFont="1" applyFill="1">
      <alignment vertical="center"/>
    </xf>
    <xf numFmtId="2" fontId="10" fillId="0" borderId="0" xfId="14" applyNumberFormat="1" applyFont="1" applyFill="1">
      <alignment vertical="center"/>
    </xf>
    <xf numFmtId="164" fontId="8" fillId="0" borderId="4" xfId="29" applyFont="1" applyFill="1" applyBorder="1" applyAlignment="1">
      <alignment horizontal="left" vertical="center"/>
    </xf>
    <xf numFmtId="0" fontId="8" fillId="0" borderId="4" xfId="10" applyFont="1" applyFill="1" applyBorder="1" applyAlignment="1">
      <alignment horizontal="center" vertical="top"/>
    </xf>
    <xf numFmtId="2" fontId="8" fillId="0" borderId="4" xfId="10" applyNumberFormat="1" applyFont="1" applyFill="1" applyBorder="1"/>
    <xf numFmtId="164" fontId="8" fillId="0" borderId="4" xfId="29" applyFont="1" applyFill="1" applyBorder="1"/>
    <xf numFmtId="0" fontId="9" fillId="0" borderId="4" xfId="10" applyFont="1" applyFill="1" applyBorder="1" applyAlignment="1">
      <alignment horizontal="center" vertical="top"/>
    </xf>
    <xf numFmtId="0" fontId="9" fillId="0" borderId="0" xfId="10" applyFont="1" applyFill="1"/>
    <xf numFmtId="0" fontId="31" fillId="0" borderId="4" xfId="0" applyFont="1" applyFill="1" applyBorder="1"/>
    <xf numFmtId="164" fontId="8" fillId="0" borderId="4" xfId="29" applyFont="1" applyFill="1" applyBorder="1" applyAlignment="1">
      <alignment horizontal="left" vertical="top"/>
    </xf>
    <xf numFmtId="164" fontId="8" fillId="0" borderId="4" xfId="29" applyFont="1" applyFill="1" applyBorder="1" applyAlignment="1">
      <alignment horizontal="left" vertical="top" wrapText="1"/>
    </xf>
    <xf numFmtId="0" fontId="8" fillId="0" borderId="4" xfId="14" applyFont="1" applyFill="1" applyBorder="1" applyAlignment="1">
      <alignment horizontal="center" vertical="top" wrapText="1"/>
    </xf>
    <xf numFmtId="0" fontId="9" fillId="0" borderId="4" xfId="14" applyFont="1" applyFill="1" applyBorder="1" applyAlignment="1">
      <alignment vertical="top" wrapText="1"/>
    </xf>
    <xf numFmtId="164" fontId="9" fillId="0" borderId="4" xfId="14" applyNumberFormat="1" applyFont="1" applyFill="1" applyBorder="1">
      <alignment vertical="center"/>
    </xf>
    <xf numFmtId="164" fontId="9" fillId="0" borderId="4" xfId="29" applyFont="1" applyFill="1" applyBorder="1" applyAlignment="1">
      <alignment vertical="center"/>
    </xf>
    <xf numFmtId="2" fontId="8" fillId="0" borderId="4" xfId="14" applyNumberFormat="1" applyFont="1" applyFill="1" applyBorder="1">
      <alignment vertical="center"/>
    </xf>
    <xf numFmtId="164" fontId="8" fillId="0" borderId="4" xfId="14" applyNumberFormat="1" applyFont="1" applyFill="1" applyBorder="1">
      <alignment vertical="center"/>
    </xf>
    <xf numFmtId="164" fontId="9" fillId="0" borderId="4" xfId="14" applyNumberFormat="1" applyFont="1" applyBorder="1">
      <alignment vertical="center"/>
    </xf>
    <xf numFmtId="164" fontId="8" fillId="0" borderId="4" xfId="29" applyFont="1" applyFill="1" applyBorder="1" applyAlignment="1">
      <alignment horizontal="left"/>
    </xf>
    <xf numFmtId="164" fontId="8" fillId="0" borderId="4" xfId="29" applyFont="1" applyFill="1" applyBorder="1" applyAlignment="1" applyProtection="1">
      <alignment horizontal="left" vertical="center"/>
    </xf>
    <xf numFmtId="164" fontId="8" fillId="0" borderId="4" xfId="29" applyFont="1" applyFill="1" applyBorder="1" applyAlignment="1"/>
    <xf numFmtId="164" fontId="9" fillId="0" borderId="4" xfId="29" applyFont="1" applyFill="1" applyBorder="1" applyAlignment="1" applyProtection="1">
      <alignment horizontal="center" vertical="center" wrapText="1"/>
    </xf>
    <xf numFmtId="164" fontId="9" fillId="0" borderId="4" xfId="29" applyFont="1" applyFill="1" applyBorder="1"/>
    <xf numFmtId="164" fontId="9" fillId="0" borderId="4" xfId="29" applyFont="1" applyBorder="1"/>
    <xf numFmtId="0" fontId="8" fillId="0" borderId="0" xfId="10" applyFont="1" applyFill="1" applyAlignment="1">
      <alignment horizontal="center" vertical="center"/>
    </xf>
    <xf numFmtId="164" fontId="8" fillId="0" borderId="0" xfId="29" applyFont="1" applyFill="1" applyAlignment="1">
      <alignment horizontal="center" vertical="center"/>
    </xf>
    <xf numFmtId="10" fontId="35" fillId="6" borderId="4" xfId="40" applyNumberFormat="1" applyFont="1" applyFill="1" applyBorder="1"/>
    <xf numFmtId="164" fontId="10" fillId="0" borderId="0" xfId="14" applyNumberFormat="1" applyFont="1" applyFill="1">
      <alignment vertical="center"/>
    </xf>
    <xf numFmtId="43" fontId="8" fillId="0" borderId="5" xfId="69" applyFont="1" applyFill="1" applyBorder="1" applyAlignment="1">
      <alignment vertical="center"/>
    </xf>
    <xf numFmtId="43" fontId="8" fillId="0" borderId="8" xfId="69" applyFont="1" applyFill="1" applyBorder="1" applyAlignment="1">
      <alignment vertical="center"/>
    </xf>
    <xf numFmtId="10" fontId="9" fillId="0" borderId="4" xfId="70" applyNumberFormat="1" applyFont="1" applyFill="1" applyBorder="1" applyAlignment="1">
      <alignment vertical="center"/>
    </xf>
    <xf numFmtId="174" fontId="10" fillId="0" borderId="4" xfId="14" applyNumberFormat="1" applyFont="1" applyBorder="1">
      <alignment vertical="center"/>
    </xf>
    <xf numFmtId="176" fontId="8" fillId="0" borderId="4" xfId="14" applyNumberFormat="1" applyFont="1" applyBorder="1">
      <alignment vertical="center"/>
    </xf>
    <xf numFmtId="9" fontId="8" fillId="0" borderId="4" xfId="40" applyFont="1" applyBorder="1" applyAlignment="1">
      <alignment vertical="center"/>
    </xf>
    <xf numFmtId="9" fontId="8" fillId="0" borderId="4" xfId="69" applyNumberFormat="1" applyFont="1" applyBorder="1" applyAlignment="1">
      <alignment vertical="center"/>
    </xf>
    <xf numFmtId="0" fontId="54" fillId="0" borderId="11" xfId="15" applyFont="1" applyBorder="1" applyAlignment="1">
      <alignment horizontal="center" vertical="center"/>
    </xf>
    <xf numFmtId="0" fontId="54" fillId="7" borderId="4" xfId="10" applyFont="1" applyFill="1" applyBorder="1" applyAlignment="1">
      <alignment horizontal="center" vertical="center" wrapText="1"/>
    </xf>
    <xf numFmtId="0" fontId="52" fillId="0" borderId="10" xfId="10" applyFont="1" applyBorder="1" applyAlignment="1">
      <alignment horizontal="center" vertical="center"/>
    </xf>
    <xf numFmtId="0" fontId="54" fillId="5" borderId="10" xfId="10" applyFont="1" applyFill="1" applyBorder="1" applyAlignment="1">
      <alignment horizontal="left" vertical="center"/>
    </xf>
    <xf numFmtId="0" fontId="54" fillId="0" borderId="10" xfId="10" applyFont="1" applyBorder="1" applyAlignment="1">
      <alignment horizontal="center" vertical="center"/>
    </xf>
    <xf numFmtId="178" fontId="54" fillId="0" borderId="10" xfId="10" applyNumberFormat="1" applyFont="1" applyBorder="1" applyAlignment="1">
      <alignment horizontal="center" vertical="center"/>
    </xf>
    <xf numFmtId="178" fontId="54" fillId="0" borderId="10" xfId="10" applyNumberFormat="1" applyFont="1" applyBorder="1" applyAlignment="1">
      <alignment horizontal="center" vertical="center" wrapText="1"/>
    </xf>
    <xf numFmtId="0" fontId="54" fillId="0" borderId="10" xfId="10" applyFont="1" applyBorder="1" applyAlignment="1">
      <alignment horizontal="centerContinuous" vertical="center"/>
    </xf>
    <xf numFmtId="0" fontId="52" fillId="0" borderId="10" xfId="10" applyFont="1" applyBorder="1" applyAlignment="1">
      <alignment horizontal="centerContinuous" vertical="center"/>
    </xf>
    <xf numFmtId="0" fontId="54" fillId="6" borderId="14" xfId="10" applyFont="1" applyFill="1" applyBorder="1" applyAlignment="1">
      <alignment horizontal="center" vertical="center"/>
    </xf>
    <xf numFmtId="0" fontId="54" fillId="6" borderId="10" xfId="10" applyFont="1" applyFill="1" applyBorder="1" applyAlignment="1">
      <alignment horizontal="center" vertical="center"/>
    </xf>
    <xf numFmtId="0" fontId="52" fillId="0" borderId="0" xfId="10" applyFont="1" applyAlignment="1">
      <alignment vertical="center"/>
    </xf>
    <xf numFmtId="0" fontId="52" fillId="0" borderId="0" xfId="10" applyFont="1" applyAlignment="1">
      <alignment vertical="center" wrapText="1"/>
    </xf>
    <xf numFmtId="14" fontId="52" fillId="0" borderId="0" xfId="10" applyNumberFormat="1" applyFont="1" applyAlignment="1">
      <alignment horizontal="center" vertical="center" wrapText="1"/>
    </xf>
    <xf numFmtId="43" fontId="8" fillId="0" borderId="4" xfId="69" quotePrefix="1" applyFont="1" applyBorder="1" applyAlignment="1">
      <alignment vertical="center" wrapText="1"/>
    </xf>
    <xf numFmtId="10" fontId="8" fillId="0" borderId="4" xfId="70" quotePrefix="1" applyNumberFormat="1" applyFont="1" applyFill="1" applyBorder="1" applyAlignment="1">
      <alignment vertical="center" wrapText="1"/>
    </xf>
    <xf numFmtId="10" fontId="8" fillId="0" borderId="4" xfId="70" quotePrefix="1" applyNumberFormat="1" applyFont="1" applyBorder="1" applyAlignment="1">
      <alignment vertical="center" wrapText="1"/>
    </xf>
    <xf numFmtId="43" fontId="30" fillId="6" borderId="4" xfId="69" applyFont="1" applyFill="1" applyBorder="1" applyAlignment="1">
      <alignment vertical="center"/>
    </xf>
    <xf numFmtId="43" fontId="31" fillId="6" borderId="4" xfId="69" applyFont="1" applyFill="1" applyBorder="1" applyAlignment="1">
      <alignment vertical="center"/>
    </xf>
    <xf numFmtId="164" fontId="8" fillId="0" borderId="5" xfId="29" applyFont="1" applyFill="1" applyBorder="1" applyAlignment="1">
      <alignment vertical="center"/>
    </xf>
    <xf numFmtId="164" fontId="8" fillId="0" borderId="8" xfId="29" applyFont="1" applyFill="1" applyBorder="1" applyAlignment="1">
      <alignment vertical="center"/>
    </xf>
    <xf numFmtId="0" fontId="9" fillId="0" borderId="4" xfId="14" applyFont="1" applyFill="1" applyBorder="1" applyAlignment="1">
      <alignment horizontal="left" vertical="center"/>
    </xf>
    <xf numFmtId="43" fontId="8" fillId="0" borderId="4" xfId="69" applyFont="1" applyBorder="1" applyAlignment="1">
      <alignment horizontal="center" vertical="center"/>
    </xf>
    <xf numFmtId="43" fontId="9" fillId="0" borderId="4" xfId="69" applyFont="1" applyBorder="1" applyAlignment="1">
      <alignment horizontal="center" vertical="center"/>
    </xf>
    <xf numFmtId="10" fontId="8" fillId="0" borderId="4" xfId="70" applyNumberFormat="1" applyFont="1" applyFill="1" applyBorder="1" applyAlignment="1">
      <alignment vertical="center"/>
    </xf>
    <xf numFmtId="0" fontId="9" fillId="0" borderId="0" xfId="10" applyFont="1" applyAlignment="1">
      <alignment vertical="center"/>
    </xf>
    <xf numFmtId="10" fontId="8" fillId="0" borderId="0" xfId="10" applyNumberFormat="1" applyFont="1" applyFill="1" applyAlignment="1">
      <alignment horizontal="center" vertical="center"/>
    </xf>
    <xf numFmtId="43" fontId="47" fillId="0" borderId="0" xfId="14" applyNumberFormat="1" applyFont="1" applyFill="1">
      <alignment vertical="center"/>
    </xf>
    <xf numFmtId="164" fontId="47" fillId="0" borderId="0" xfId="14" applyNumberFormat="1" applyFont="1" applyFill="1">
      <alignment vertical="center"/>
    </xf>
    <xf numFmtId="164" fontId="8" fillId="0" borderId="0" xfId="29" applyFont="1" applyFill="1"/>
    <xf numFmtId="43" fontId="8" fillId="0" borderId="0" xfId="10" applyNumberFormat="1" applyFont="1" applyFill="1"/>
    <xf numFmtId="0" fontId="8" fillId="0" borderId="4" xfId="10" applyFont="1" applyFill="1" applyBorder="1" applyAlignment="1">
      <alignment horizontal="left" vertical="center" wrapText="1"/>
    </xf>
    <xf numFmtId="0" fontId="9" fillId="0" borderId="7" xfId="14" applyFont="1" applyFill="1" applyBorder="1" applyAlignment="1">
      <alignment horizontal="center" vertical="center"/>
    </xf>
    <xf numFmtId="0" fontId="8" fillId="0" borderId="0" xfId="10" applyFont="1" applyFill="1" applyBorder="1" applyAlignment="1">
      <alignment horizontal="left"/>
    </xf>
    <xf numFmtId="43" fontId="8" fillId="0" borderId="0" xfId="14" applyNumberFormat="1" applyFont="1" applyFill="1">
      <alignment vertical="center"/>
    </xf>
    <xf numFmtId="0" fontId="0" fillId="0" borderId="0" xfId="0" applyFill="1"/>
    <xf numFmtId="10" fontId="8" fillId="0" borderId="0" xfId="40" applyNumberFormat="1" applyFont="1" applyFill="1" applyBorder="1"/>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7" fillId="6" borderId="0" xfId="10" applyFont="1" applyFill="1" applyBorder="1" applyAlignment="1">
      <alignment horizontal="left" vertical="center"/>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0" borderId="0" xfId="10" applyFont="1" applyAlignment="1">
      <alignment horizontal="left"/>
    </xf>
    <xf numFmtId="10" fontId="9" fillId="0" borderId="4" xfId="14" applyNumberFormat="1" applyFont="1" applyFill="1" applyBorder="1" applyAlignment="1">
      <alignment vertical="center"/>
    </xf>
    <xf numFmtId="2" fontId="9" fillId="0" borderId="4" xfId="14" applyNumberFormat="1" applyFont="1" applyFill="1" applyBorder="1" applyAlignment="1">
      <alignment vertical="center"/>
    </xf>
    <xf numFmtId="164" fontId="9" fillId="0" borderId="4" xfId="29" applyFont="1" applyFill="1" applyBorder="1" applyAlignment="1">
      <alignment horizontal="center" vertical="center"/>
    </xf>
    <xf numFmtId="0" fontId="30" fillId="7" borderId="4" xfId="10" applyFont="1" applyFill="1" applyBorder="1" applyAlignment="1">
      <alignment horizontal="center" vertical="center" wrapText="1"/>
    </xf>
    <xf numFmtId="164" fontId="8" fillId="0" borderId="4" xfId="14" applyNumberFormat="1" applyFont="1" applyFill="1" applyBorder="1" applyAlignment="1">
      <alignment horizontal="left" vertical="center"/>
    </xf>
    <xf numFmtId="164" fontId="8" fillId="0" borderId="4" xfId="29" applyFont="1" applyBorder="1" applyAlignment="1">
      <alignment vertical="top" wrapText="1"/>
    </xf>
    <xf numFmtId="0" fontId="9" fillId="4" borderId="10"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4" borderId="4" xfId="14" applyFont="1" applyFill="1" applyBorder="1" applyAlignment="1">
      <alignment horizontal="center" vertical="center" wrapText="1"/>
    </xf>
    <xf numFmtId="164" fontId="8" fillId="0" borderId="4" xfId="29" applyFont="1" applyFill="1" applyBorder="1" applyAlignment="1">
      <alignment horizontal="center" vertical="center"/>
    </xf>
    <xf numFmtId="0" fontId="41" fillId="0" borderId="0" xfId="14" applyFont="1" applyAlignment="1">
      <alignment horizontal="left" vertical="center"/>
    </xf>
    <xf numFmtId="0" fontId="9" fillId="4" borderId="4" xfId="10" applyFont="1" applyFill="1" applyBorder="1" applyAlignment="1">
      <alignment horizontal="center" vertical="center" wrapText="1"/>
    </xf>
    <xf numFmtId="0" fontId="9" fillId="0" borderId="0" xfId="10" applyFont="1" applyFill="1" applyBorder="1" applyAlignment="1">
      <alignment vertical="center"/>
    </xf>
    <xf numFmtId="43" fontId="10" fillId="0" borderId="4" xfId="69" applyFont="1" applyBorder="1" applyAlignment="1">
      <alignment horizontal="right" vertical="center"/>
    </xf>
    <xf numFmtId="43" fontId="53" fillId="0" borderId="4" xfId="69" applyFont="1" applyBorder="1" applyAlignment="1">
      <alignment horizontal="right" vertical="center"/>
    </xf>
    <xf numFmtId="43" fontId="53" fillId="0" borderId="4" xfId="69" applyFont="1" applyFill="1" applyBorder="1" applyAlignment="1">
      <alignment vertical="center"/>
    </xf>
    <xf numFmtId="43" fontId="10" fillId="0" borderId="4" xfId="69" applyFont="1" applyFill="1" applyBorder="1" applyAlignment="1">
      <alignment horizontal="center" vertical="center"/>
    </xf>
    <xf numFmtId="10" fontId="8" fillId="14" borderId="0" xfId="40" applyNumberFormat="1" applyFont="1" applyFill="1" applyBorder="1"/>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0" fontId="9" fillId="4" borderId="4" xfId="31"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8"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14" borderId="0" xfId="10" applyFont="1" applyFill="1" applyBorder="1" applyAlignment="1">
      <alignment vertical="center"/>
    </xf>
    <xf numFmtId="0" fontId="8" fillId="14" borderId="0" xfId="10" applyFont="1" applyFill="1" applyAlignment="1">
      <alignment vertical="center"/>
    </xf>
    <xf numFmtId="0" fontId="8" fillId="14" borderId="0" xfId="10" applyFont="1" applyFill="1" applyBorder="1" applyAlignment="1">
      <alignment vertical="center"/>
    </xf>
    <xf numFmtId="0" fontId="9" fillId="7" borderId="8" xfId="14" applyFont="1" applyFill="1" applyBorder="1" applyAlignment="1">
      <alignment vertical="center" wrapText="1"/>
    </xf>
    <xf numFmtId="0" fontId="9" fillId="0" borderId="0" xfId="14" applyFont="1" applyFill="1" applyBorder="1" applyAlignment="1">
      <alignment horizontal="center" vertical="center" wrapText="1"/>
    </xf>
    <xf numFmtId="0" fontId="9" fillId="0" borderId="0" xfId="10" applyFont="1" applyFill="1" applyBorder="1"/>
    <xf numFmtId="0" fontId="9" fillId="14" borderId="4" xfId="14" applyFont="1" applyFill="1" applyBorder="1" applyAlignment="1">
      <alignment horizontal="center" vertical="center" wrapText="1"/>
    </xf>
    <xf numFmtId="0" fontId="8" fillId="14" borderId="0" xfId="68" applyFont="1" applyFill="1">
      <alignment vertical="center"/>
    </xf>
    <xf numFmtId="0" fontId="9" fillId="14" borderId="0" xfId="31" applyFont="1" applyFill="1" applyAlignment="1">
      <alignment horizontal="left" vertical="top"/>
    </xf>
    <xf numFmtId="0" fontId="8" fillId="6" borderId="4" xfId="69" applyNumberFormat="1" applyFont="1" applyFill="1" applyBorder="1" applyAlignment="1">
      <alignment vertical="center"/>
    </xf>
    <xf numFmtId="0" fontId="8" fillId="0" borderId="4" xfId="69" applyNumberFormat="1" applyFont="1" applyBorder="1" applyAlignment="1">
      <alignment vertical="center"/>
    </xf>
    <xf numFmtId="0" fontId="35" fillId="16" borderId="4" xfId="69" applyNumberFormat="1" applyFont="1" applyFill="1" applyBorder="1"/>
    <xf numFmtId="176" fontId="8" fillId="14" borderId="4" xfId="69" applyNumberFormat="1" applyFont="1" applyFill="1" applyBorder="1" applyAlignment="1" applyProtection="1">
      <alignment horizontal="left"/>
    </xf>
    <xf numFmtId="0" fontId="8" fillId="0" borderId="4" xfId="69" applyNumberFormat="1" applyFont="1" applyFill="1" applyBorder="1" applyAlignment="1">
      <alignment vertical="center"/>
    </xf>
    <xf numFmtId="0" fontId="9" fillId="0" borderId="4" xfId="29" applyNumberFormat="1" applyFont="1" applyFill="1" applyBorder="1"/>
    <xf numFmtId="43" fontId="10" fillId="14" borderId="4" xfId="69" applyFont="1" applyFill="1" applyBorder="1" applyAlignment="1">
      <alignment vertical="center"/>
    </xf>
    <xf numFmtId="0" fontId="10" fillId="0" borderId="4" xfId="14" applyNumberFormat="1" applyFont="1" applyBorder="1">
      <alignment vertical="center"/>
    </xf>
    <xf numFmtId="2" fontId="10" fillId="0" borderId="4" xfId="14" applyNumberFormat="1" applyFont="1" applyFill="1" applyBorder="1">
      <alignment vertical="center"/>
    </xf>
    <xf numFmtId="43" fontId="10" fillId="0" borderId="4" xfId="14" applyNumberFormat="1" applyFont="1" applyFill="1" applyBorder="1">
      <alignment vertical="center"/>
    </xf>
    <xf numFmtId="9" fontId="10" fillId="0" borderId="4" xfId="14" applyNumberFormat="1" applyFont="1" applyFill="1" applyBorder="1">
      <alignment vertical="center"/>
    </xf>
    <xf numFmtId="0" fontId="9" fillId="0" borderId="0" xfId="10" applyFont="1" applyFill="1" applyBorder="1" applyAlignment="1">
      <alignment horizontal="center" vertical="top"/>
    </xf>
    <xf numFmtId="0" fontId="9" fillId="14" borderId="4" xfId="10" applyFont="1" applyFill="1" applyBorder="1" applyAlignment="1">
      <alignment horizontal="center" vertical="center" wrapText="1"/>
    </xf>
    <xf numFmtId="0" fontId="9" fillId="9" borderId="4" xfId="10" applyFont="1" applyFill="1" applyBorder="1" applyAlignment="1">
      <alignment horizontal="center" vertical="center" wrapText="1"/>
    </xf>
    <xf numFmtId="0" fontId="8" fillId="0" borderId="0" xfId="14" applyNumberFormat="1" applyFont="1" applyFill="1">
      <alignment vertical="center"/>
    </xf>
    <xf numFmtId="0" fontId="9" fillId="0" borderId="0" xfId="14" applyFont="1" applyFill="1" applyBorder="1" applyAlignment="1">
      <alignment horizontal="center" vertical="center"/>
    </xf>
    <xf numFmtId="43" fontId="8" fillId="0" borderId="0" xfId="14" applyNumberFormat="1" applyFont="1" applyFill="1" applyBorder="1">
      <alignment vertical="center"/>
    </xf>
    <xf numFmtId="43" fontId="8" fillId="0" borderId="0" xfId="69" applyFont="1" applyFill="1" applyBorder="1"/>
    <xf numFmtId="10" fontId="8" fillId="0" borderId="0" xfId="14" applyNumberFormat="1" applyFont="1" applyFill="1" applyBorder="1">
      <alignment vertical="center"/>
    </xf>
    <xf numFmtId="2" fontId="9" fillId="0" borderId="0" xfId="14" applyNumberFormat="1" applyFont="1" applyFill="1" applyBorder="1" applyAlignment="1">
      <alignment vertical="center"/>
    </xf>
    <xf numFmtId="0" fontId="9" fillId="0" borderId="4" xfId="69" applyNumberFormat="1" applyFont="1" applyFill="1" applyBorder="1" applyAlignment="1">
      <alignment vertical="center"/>
    </xf>
    <xf numFmtId="164" fontId="8" fillId="0" borderId="4" xfId="29" quotePrefix="1" applyFont="1" applyFill="1" applyBorder="1" applyAlignment="1">
      <alignment vertical="center"/>
    </xf>
    <xf numFmtId="9" fontId="8" fillId="0" borderId="4" xfId="70" quotePrefix="1" applyNumberFormat="1" applyFont="1" applyBorder="1" applyAlignment="1">
      <alignment vertical="center" wrapText="1"/>
    </xf>
    <xf numFmtId="2" fontId="31" fillId="0" borderId="4" xfId="0" applyNumberFormat="1" applyFont="1" applyBorder="1"/>
    <xf numFmtId="4" fontId="8" fillId="0" borderId="4" xfId="69" quotePrefix="1" applyNumberFormat="1" applyFont="1" applyBorder="1" applyAlignment="1">
      <alignment vertical="center" wrapText="1"/>
    </xf>
    <xf numFmtId="0" fontId="31" fillId="0" borderId="4" xfId="0" applyFont="1" applyBorder="1"/>
    <xf numFmtId="0" fontId="0" fillId="0" borderId="5" xfId="0" applyFill="1" applyBorder="1"/>
    <xf numFmtId="0" fontId="0" fillId="0" borderId="4" xfId="0" applyFill="1" applyBorder="1"/>
    <xf numFmtId="43" fontId="8" fillId="0" borderId="8" xfId="69" applyFont="1" applyBorder="1" applyAlignment="1">
      <alignment vertical="top" wrapText="1"/>
    </xf>
    <xf numFmtId="0" fontId="8" fillId="0" borderId="7" xfId="14" applyFont="1" applyBorder="1" applyAlignment="1">
      <alignment vertical="top" wrapText="1"/>
    </xf>
    <xf numFmtId="2" fontId="0" fillId="0" borderId="4" xfId="0" applyNumberFormat="1" applyFont="1" applyFill="1" applyBorder="1" applyAlignment="1">
      <alignment horizontal="right" vertical="center"/>
    </xf>
    <xf numFmtId="164" fontId="8" fillId="0" borderId="4" xfId="29" quotePrefix="1" applyNumberFormat="1" applyFont="1" applyFill="1" applyBorder="1" applyAlignment="1">
      <alignment horizontal="left" vertical="center"/>
    </xf>
    <xf numFmtId="43" fontId="13" fillId="5" borderId="4" xfId="69" applyNumberFormat="1" applyFont="1" applyFill="1" applyBorder="1" applyAlignment="1">
      <alignment vertical="center"/>
    </xf>
    <xf numFmtId="9" fontId="8" fillId="0" borderId="4" xfId="69" applyNumberFormat="1" applyFont="1" applyFill="1" applyBorder="1" applyAlignment="1" applyProtection="1">
      <alignment vertical="center" wrapText="1"/>
    </xf>
    <xf numFmtId="0" fontId="0" fillId="0" borderId="0" xfId="0" applyFill="1" applyAlignment="1">
      <alignment horizontal="left" indent="2"/>
    </xf>
    <xf numFmtId="164" fontId="8" fillId="0" borderId="4" xfId="29" applyFont="1" applyFill="1" applyBorder="1" applyAlignment="1">
      <alignment horizontal="center" vertical="center"/>
    </xf>
    <xf numFmtId="0" fontId="9" fillId="9" borderId="4" xfId="14" applyFont="1" applyFill="1" applyBorder="1" applyAlignment="1">
      <alignment horizontal="center" vertical="center"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4" xfId="31"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9" fillId="0" borderId="0" xfId="10" applyFont="1" applyAlignment="1">
      <alignment horizontal="left"/>
    </xf>
    <xf numFmtId="0" fontId="8" fillId="0" borderId="4" xfId="10" applyFont="1" applyBorder="1" applyAlignment="1">
      <alignment horizontal="center" vertical="top" wrapText="1"/>
    </xf>
    <xf numFmtId="0" fontId="8" fillId="0" borderId="0" xfId="10" applyFont="1" applyAlignment="1">
      <alignment horizontal="centerContinuous"/>
    </xf>
    <xf numFmtId="0" fontId="9" fillId="0" borderId="0" xfId="10" applyFont="1" applyAlignment="1">
      <alignment horizontal="center" vertical="center"/>
    </xf>
    <xf numFmtId="0" fontId="8" fillId="0" borderId="0" xfId="71" applyFont="1"/>
    <xf numFmtId="0" fontId="8" fillId="6" borderId="4" xfId="10" applyFont="1" applyFill="1" applyBorder="1" applyAlignment="1">
      <alignment vertical="top"/>
    </xf>
    <xf numFmtId="0" fontId="9" fillId="0" borderId="0" xfId="10" applyFont="1" applyAlignment="1">
      <alignment vertical="center" wrapText="1"/>
    </xf>
    <xf numFmtId="0" fontId="9" fillId="14" borderId="0" xfId="10" applyFont="1" applyFill="1" applyAlignment="1">
      <alignment horizontal="left" vertical="top"/>
    </xf>
    <xf numFmtId="0" fontId="27" fillId="0" borderId="0" xfId="10" applyFont="1"/>
    <xf numFmtId="0" fontId="8" fillId="6" borderId="0" xfId="10" applyFont="1" applyFill="1"/>
    <xf numFmtId="0" fontId="38" fillId="0" borderId="0" xfId="78" applyFont="1"/>
    <xf numFmtId="0" fontId="40" fillId="11" borderId="0" xfId="78" applyFont="1" applyFill="1" applyAlignment="1">
      <alignment horizontal="left"/>
    </xf>
    <xf numFmtId="0" fontId="40" fillId="0" borderId="0" xfId="78" applyFont="1"/>
    <xf numFmtId="0" fontId="40" fillId="12" borderId="4" xfId="78" applyFont="1" applyFill="1" applyBorder="1" applyAlignment="1">
      <alignment vertical="center"/>
    </xf>
    <xf numFmtId="0" fontId="40" fillId="12" borderId="4" xfId="78" applyFont="1" applyFill="1" applyBorder="1" applyAlignment="1">
      <alignment horizontal="center" vertical="center" wrapText="1"/>
    </xf>
    <xf numFmtId="0" fontId="40" fillId="12" borderId="4" xfId="78" applyFont="1" applyFill="1" applyBorder="1" applyAlignment="1">
      <alignment horizontal="center" vertical="center"/>
    </xf>
    <xf numFmtId="0" fontId="38" fillId="0" borderId="4" xfId="78" applyFont="1" applyBorder="1"/>
    <xf numFmtId="0" fontId="38" fillId="0" borderId="4" xfId="78" applyFont="1" applyBorder="1" applyAlignment="1">
      <alignment horizontal="left"/>
    </xf>
    <xf numFmtId="169" fontId="38" fillId="0" borderId="4" xfId="79" applyNumberFormat="1" applyFont="1" applyBorder="1"/>
    <xf numFmtId="170" fontId="38" fillId="0" borderId="4" xfId="64" applyNumberFormat="1" applyFont="1" applyBorder="1" applyAlignment="1">
      <alignment vertical="center" wrapText="1"/>
    </xf>
    <xf numFmtId="0" fontId="40" fillId="10" borderId="4" xfId="78" applyFont="1" applyFill="1" applyBorder="1"/>
    <xf numFmtId="0" fontId="40" fillId="10" borderId="4" xfId="78" applyFont="1" applyFill="1" applyBorder="1" applyAlignment="1">
      <alignment horizontal="left"/>
    </xf>
    <xf numFmtId="170" fontId="38" fillId="0" borderId="0" xfId="78" applyNumberFormat="1" applyFont="1"/>
    <xf numFmtId="0" fontId="38" fillId="0" borderId="0" xfId="78" applyFont="1" applyAlignment="1">
      <alignment vertical="center" wrapText="1"/>
    </xf>
    <xf numFmtId="0" fontId="40" fillId="0" borderId="0" xfId="78" applyFont="1" applyAlignment="1">
      <alignment vertical="center"/>
    </xf>
    <xf numFmtId="0" fontId="40" fillId="12" borderId="4" xfId="78" applyFont="1" applyFill="1" applyBorder="1" applyAlignment="1">
      <alignment vertical="center" wrapText="1"/>
    </xf>
    <xf numFmtId="0" fontId="40" fillId="12" borderId="4" xfId="78" applyFont="1" applyFill="1" applyBorder="1" applyAlignment="1">
      <alignment horizontal="left" vertical="center"/>
    </xf>
    <xf numFmtId="10" fontId="38" fillId="0" borderId="4" xfId="78" applyNumberFormat="1" applyFont="1" applyBorder="1"/>
    <xf numFmtId="164" fontId="38" fillId="0" borderId="4" xfId="80" applyNumberFormat="1" applyFont="1" applyBorder="1" applyAlignment="1">
      <alignment vertical="center"/>
    </xf>
    <xf numFmtId="171" fontId="38" fillId="0" borderId="4" xfId="81" applyNumberFormat="1" applyFont="1" applyBorder="1"/>
    <xf numFmtId="10" fontId="38" fillId="6" borderId="4" xfId="78" applyNumberFormat="1" applyFont="1" applyFill="1" applyBorder="1"/>
    <xf numFmtId="0" fontId="38" fillId="0" borderId="0" xfId="78" applyFont="1" applyAlignment="1">
      <alignment horizontal="left"/>
    </xf>
    <xf numFmtId="164" fontId="38" fillId="0" borderId="0" xfId="79" applyNumberFormat="1" applyFont="1"/>
    <xf numFmtId="0" fontId="38" fillId="0" borderId="0" xfId="78" applyFont="1" applyAlignment="1">
      <alignment vertical="center"/>
    </xf>
    <xf numFmtId="164" fontId="38" fillId="0" borderId="4" xfId="79" applyNumberFormat="1" applyFont="1" applyBorder="1"/>
    <xf numFmtId="170" fontId="38" fillId="0" borderId="4" xfId="78" applyNumberFormat="1" applyFont="1" applyBorder="1"/>
    <xf numFmtId="0" fontId="9" fillId="0" borderId="0" xfId="14" applyFont="1" applyAlignment="1">
      <alignment horizontal="center" vertical="center"/>
    </xf>
    <xf numFmtId="0" fontId="9" fillId="4" borderId="4" xfId="10" applyFont="1" applyFill="1" applyBorder="1" applyAlignment="1">
      <alignment horizontal="center"/>
    </xf>
    <xf numFmtId="0" fontId="9" fillId="4" borderId="4" xfId="10" applyFont="1" applyFill="1" applyBorder="1" applyAlignment="1">
      <alignment horizontal="center" vertical="top" wrapText="1"/>
    </xf>
    <xf numFmtId="0" fontId="8" fillId="0" borderId="0" xfId="10" applyFont="1" applyAlignment="1">
      <alignment horizontal="left" vertical="center" wrapText="1"/>
    </xf>
    <xf numFmtId="0" fontId="9" fillId="0" borderId="0" xfId="10" applyFont="1" applyAlignment="1">
      <alignment horizontal="center" vertical="center"/>
    </xf>
    <xf numFmtId="0" fontId="9" fillId="6" borderId="0" xfId="10" applyFont="1" applyFill="1" applyAlignment="1">
      <alignment horizontal="center" vertical="center"/>
    </xf>
    <xf numFmtId="0" fontId="9"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8" fillId="5" borderId="7" xfId="10" applyFont="1" applyFill="1" applyBorder="1" applyAlignment="1">
      <alignment horizontal="center" vertical="top"/>
    </xf>
    <xf numFmtId="0" fontId="8" fillId="5" borderId="7" xfId="10" applyFont="1" applyFill="1" applyBorder="1" applyAlignment="1">
      <alignment horizontal="right" vertical="top"/>
    </xf>
    <xf numFmtId="2" fontId="9" fillId="5" borderId="4" xfId="14" applyNumberFormat="1" applyFont="1" applyFill="1" applyBorder="1" applyAlignment="1">
      <alignment horizontal="center" vertical="center" wrapText="1"/>
    </xf>
    <xf numFmtId="0" fontId="9" fillId="0" borderId="8" xfId="10" applyFont="1" applyBorder="1" applyAlignment="1">
      <alignment horizontal="right"/>
    </xf>
    <xf numFmtId="0" fontId="8" fillId="0" borderId="8" xfId="10" applyFont="1" applyBorder="1" applyAlignment="1">
      <alignment horizontal="left"/>
    </xf>
    <xf numFmtId="0" fontId="8" fillId="5" borderId="6" xfId="10" applyFont="1" applyFill="1" applyBorder="1" applyAlignment="1">
      <alignment horizontal="center" vertical="top"/>
    </xf>
    <xf numFmtId="0" fontId="9" fillId="5" borderId="4" xfId="10" applyFont="1" applyFill="1" applyBorder="1" applyAlignment="1">
      <alignment vertical="top" wrapText="1"/>
    </xf>
    <xf numFmtId="0" fontId="8" fillId="5" borderId="4" xfId="10" applyFont="1" applyFill="1" applyBorder="1" applyAlignment="1">
      <alignment vertical="top" wrapText="1"/>
    </xf>
    <xf numFmtId="0" fontId="9" fillId="5" borderId="0" xfId="10" applyFont="1" applyFill="1"/>
    <xf numFmtId="0" fontId="8" fillId="5" borderId="0" xfId="10" applyFont="1" applyFill="1"/>
    <xf numFmtId="0" fontId="26" fillId="0" borderId="0" xfId="10" applyFont="1" applyAlignment="1">
      <alignment vertical="top" wrapText="1"/>
    </xf>
    <xf numFmtId="0" fontId="8" fillId="5" borderId="0" xfId="10" applyFont="1" applyFill="1" applyAlignment="1">
      <alignment vertical="center" wrapText="1"/>
    </xf>
    <xf numFmtId="0" fontId="18" fillId="0" borderId="0" xfId="71"/>
    <xf numFmtId="0" fontId="8" fillId="0" borderId="0" xfId="10" applyFont="1" applyAlignment="1">
      <alignment horizontal="center" vertical="top"/>
    </xf>
    <xf numFmtId="0" fontId="12" fillId="5" borderId="4" xfId="14" applyFont="1" applyFill="1" applyBorder="1" applyAlignment="1">
      <alignment horizontal="center" vertical="center" wrapText="1"/>
    </xf>
    <xf numFmtId="0" fontId="8" fillId="0" borderId="4" xfId="71" applyFont="1" applyBorder="1" applyAlignment="1">
      <alignment horizontal="center"/>
    </xf>
    <xf numFmtId="0" fontId="8" fillId="0" borderId="4" xfId="71" applyFont="1" applyBorder="1"/>
    <xf numFmtId="0" fontId="8" fillId="0" borderId="4" xfId="71" applyFont="1" applyFill="1" applyBorder="1" applyAlignment="1">
      <alignment horizontal="center"/>
    </xf>
    <xf numFmtId="0" fontId="9" fillId="0" borderId="4" xfId="71" applyFont="1" applyBorder="1" applyAlignment="1">
      <alignment horizontal="center"/>
    </xf>
    <xf numFmtId="0" fontId="9" fillId="0" borderId="4" xfId="71" applyFont="1" applyFill="1" applyBorder="1"/>
    <xf numFmtId="0" fontId="9" fillId="0" borderId="4" xfId="71" applyFont="1" applyBorder="1"/>
    <xf numFmtId="0" fontId="63" fillId="0" borderId="0" xfId="71" applyFont="1"/>
    <xf numFmtId="0" fontId="18" fillId="0" borderId="0" xfId="71" applyAlignment="1">
      <alignment vertical="center" wrapText="1"/>
    </xf>
    <xf numFmtId="0" fontId="8" fillId="0" borderId="11" xfId="71" applyFont="1" applyBorder="1"/>
    <xf numFmtId="0" fontId="8" fillId="0" borderId="16" xfId="71" applyFont="1" applyBorder="1"/>
    <xf numFmtId="0" fontId="9" fillId="4" borderId="4" xfId="71" applyFont="1" applyFill="1" applyBorder="1" applyAlignment="1">
      <alignment horizontal="center" vertical="top" wrapText="1"/>
    </xf>
    <xf numFmtId="0" fontId="8" fillId="0" borderId="0" xfId="71" applyFont="1" applyAlignment="1">
      <alignment vertical="top" wrapText="1"/>
    </xf>
    <xf numFmtId="0" fontId="8" fillId="0" borderId="0" xfId="10" applyFont="1" applyAlignment="1">
      <alignment horizontal="center" vertical="center" wrapText="1"/>
    </xf>
    <xf numFmtId="2" fontId="8" fillId="0" borderId="0" xfId="10" applyNumberFormat="1" applyFont="1" applyAlignment="1">
      <alignment horizontal="center" vertical="center" wrapText="1"/>
    </xf>
    <xf numFmtId="14" fontId="8" fillId="0" borderId="0" xfId="71" applyNumberFormat="1" applyFont="1"/>
    <xf numFmtId="14" fontId="8" fillId="0" borderId="0" xfId="10" applyNumberFormat="1" applyFont="1" applyAlignment="1">
      <alignment horizontal="center" vertical="center" wrapText="1"/>
    </xf>
    <xf numFmtId="2" fontId="8" fillId="0" borderId="0" xfId="71" applyNumberFormat="1" applyFont="1"/>
    <xf numFmtId="0" fontId="8" fillId="0" borderId="0" xfId="71" applyFont="1" applyAlignment="1">
      <alignment vertical="top"/>
    </xf>
    <xf numFmtId="0" fontId="8" fillId="0" borderId="0" xfId="71" applyFont="1" applyAlignment="1">
      <alignment vertical="center" wrapText="1"/>
    </xf>
    <xf numFmtId="0" fontId="8" fillId="6" borderId="11" xfId="71" applyFont="1" applyFill="1" applyBorder="1"/>
    <xf numFmtId="0" fontId="8" fillId="6" borderId="0" xfId="71" applyFont="1" applyFill="1"/>
    <xf numFmtId="0" fontId="9" fillId="6" borderId="0" xfId="82" applyFont="1" applyFill="1">
      <alignment vertical="center"/>
    </xf>
    <xf numFmtId="0" fontId="8" fillId="6" borderId="0" xfId="71" applyFont="1" applyFill="1" applyAlignment="1">
      <alignment vertical="center"/>
    </xf>
    <xf numFmtId="0" fontId="9" fillId="6" borderId="0" xfId="71" applyFont="1" applyFill="1" applyAlignment="1">
      <alignment vertical="center"/>
    </xf>
    <xf numFmtId="0" fontId="8" fillId="6" borderId="0" xfId="71" applyFont="1" applyFill="1" applyAlignment="1">
      <alignment horizontal="center" vertical="center"/>
    </xf>
    <xf numFmtId="0" fontId="9" fillId="6" borderId="0" xfId="35" applyFont="1" applyFill="1" applyAlignment="1">
      <alignment horizontal="center" vertical="top"/>
    </xf>
    <xf numFmtId="0" fontId="9" fillId="6" borderId="0" xfId="82" applyFont="1" applyFill="1" applyAlignment="1">
      <alignment horizontal="center" vertical="center"/>
    </xf>
    <xf numFmtId="0" fontId="9" fillId="7" borderId="4" xfId="71" applyFont="1" applyFill="1" applyBorder="1"/>
    <xf numFmtId="0" fontId="8" fillId="7" borderId="4" xfId="71" applyFont="1" applyFill="1" applyBorder="1"/>
    <xf numFmtId="0" fontId="9" fillId="7" borderId="4" xfId="71" applyFont="1" applyFill="1" applyBorder="1" applyAlignment="1">
      <alignment vertical="top" wrapText="1"/>
    </xf>
    <xf numFmtId="0" fontId="9" fillId="7" borderId="4" xfId="71" applyFont="1" applyFill="1" applyBorder="1" applyAlignment="1">
      <alignment horizontal="center" vertical="top" wrapText="1"/>
    </xf>
    <xf numFmtId="0" fontId="8" fillId="6" borderId="4" xfId="71" applyFont="1" applyFill="1" applyBorder="1"/>
    <xf numFmtId="0" fontId="8" fillId="6" borderId="4" xfId="71" applyFont="1" applyFill="1" applyBorder="1" applyAlignment="1">
      <alignment horizontal="right"/>
    </xf>
    <xf numFmtId="0" fontId="9" fillId="6" borderId="4" xfId="71" applyFont="1" applyFill="1" applyBorder="1"/>
    <xf numFmtId="2" fontId="8" fillId="6" borderId="4" xfId="71" applyNumberFormat="1" applyFont="1" applyFill="1" applyBorder="1"/>
    <xf numFmtId="164" fontId="8" fillId="6" borderId="4" xfId="83" applyFont="1" applyFill="1" applyBorder="1"/>
    <xf numFmtId="164" fontId="8" fillId="0" borderId="4" xfId="83" applyFont="1" applyFill="1" applyBorder="1"/>
    <xf numFmtId="2" fontId="8" fillId="6" borderId="0" xfId="71" applyNumberFormat="1" applyFont="1" applyFill="1"/>
    <xf numFmtId="2" fontId="9" fillId="6" borderId="4" xfId="71" applyNumberFormat="1" applyFont="1" applyFill="1" applyBorder="1"/>
    <xf numFmtId="164" fontId="9" fillId="6" borderId="4" xfId="83" applyFont="1" applyFill="1" applyBorder="1"/>
    <xf numFmtId="0" fontId="9" fillId="6" borderId="0" xfId="71" applyFont="1" applyFill="1"/>
    <xf numFmtId="164" fontId="8" fillId="0" borderId="4" xfId="83" applyFont="1" applyBorder="1"/>
    <xf numFmtId="0" fontId="8" fillId="6" borderId="4" xfId="71" applyFont="1" applyFill="1" applyBorder="1" applyAlignment="1">
      <alignment vertical="center" wrapText="1"/>
    </xf>
    <xf numFmtId="164" fontId="8" fillId="6" borderId="4" xfId="83" applyFont="1" applyFill="1" applyBorder="1" applyAlignment="1">
      <alignment horizontal="right"/>
    </xf>
    <xf numFmtId="0" fontId="9" fillId="6" borderId="4" xfId="10" applyFont="1" applyFill="1" applyBorder="1"/>
    <xf numFmtId="0" fontId="9" fillId="0" borderId="0" xfId="71" applyFont="1" applyAlignment="1">
      <alignment vertical="top"/>
    </xf>
    <xf numFmtId="0" fontId="9" fillId="0" borderId="0" xfId="35" applyFont="1" applyAlignment="1">
      <alignment horizontal="center" vertical="top"/>
    </xf>
    <xf numFmtId="0" fontId="9" fillId="0" borderId="0" xfId="71" applyFont="1" applyAlignment="1">
      <alignment horizontal="right"/>
    </xf>
    <xf numFmtId="0" fontId="8" fillId="0" borderId="0" xfId="71" applyFont="1" applyAlignment="1">
      <alignment horizontal="center"/>
    </xf>
    <xf numFmtId="0" fontId="8" fillId="0" borderId="4" xfId="71" applyFont="1" applyBorder="1" applyAlignment="1">
      <alignment horizontal="left" vertical="top" wrapText="1"/>
    </xf>
    <xf numFmtId="0" fontId="8" fillId="0" borderId="4" xfId="71" applyFont="1" applyBorder="1" applyAlignment="1">
      <alignment horizontal="left"/>
    </xf>
    <xf numFmtId="0" fontId="9" fillId="0" borderId="4" xfId="71" applyFont="1" applyBorder="1" applyAlignment="1">
      <alignment horizontal="left" vertical="top" wrapText="1"/>
    </xf>
    <xf numFmtId="164" fontId="8" fillId="0" borderId="0" xfId="71" applyNumberFormat="1" applyFont="1"/>
    <xf numFmtId="0" fontId="8" fillId="0" borderId="11" xfId="35" applyFont="1" applyBorder="1"/>
    <xf numFmtId="0" fontId="8" fillId="0" borderId="0" xfId="35" applyFont="1"/>
    <xf numFmtId="0" fontId="9" fillId="0" borderId="0" xfId="35" applyFont="1" applyAlignment="1">
      <alignment vertical="top"/>
    </xf>
    <xf numFmtId="0" fontId="8" fillId="0" borderId="0" xfId="35" applyFont="1" applyAlignment="1">
      <alignment horizontal="center"/>
    </xf>
    <xf numFmtId="0" fontId="9" fillId="4" borderId="4" xfId="35" applyFont="1" applyFill="1" applyBorder="1" applyAlignment="1">
      <alignment horizontal="center" vertical="top" wrapText="1"/>
    </xf>
    <xf numFmtId="0" fontId="8" fillId="0" borderId="4" xfId="35" applyFont="1" applyBorder="1"/>
    <xf numFmtId="0" fontId="9" fillId="0" borderId="4" xfId="35" applyFont="1" applyBorder="1" applyAlignment="1">
      <alignment horizontal="center" vertical="top" wrapText="1"/>
    </xf>
    <xf numFmtId="0" fontId="9" fillId="0" borderId="4" xfId="35" applyFont="1" applyBorder="1" applyAlignment="1">
      <alignment horizontal="left" vertical="top"/>
    </xf>
    <xf numFmtId="0" fontId="9" fillId="0" borderId="20" xfId="35" applyFont="1" applyBorder="1" applyAlignment="1">
      <alignment horizontal="center" vertical="top" wrapText="1"/>
    </xf>
    <xf numFmtId="0" fontId="9" fillId="0" borderId="7" xfId="35" applyFont="1" applyBorder="1" applyAlignment="1">
      <alignment horizontal="left" vertical="top"/>
    </xf>
    <xf numFmtId="0" fontId="9" fillId="0" borderId="21" xfId="35" applyFont="1" applyBorder="1" applyAlignment="1">
      <alignment horizontal="center" vertical="top" wrapText="1"/>
    </xf>
    <xf numFmtId="2" fontId="9" fillId="0" borderId="22" xfId="10" quotePrefix="1" applyNumberFormat="1" applyFont="1" applyBorder="1" applyAlignment="1">
      <alignment horizontal="center" vertical="center" wrapText="1"/>
    </xf>
    <xf numFmtId="0" fontId="9" fillId="0" borderId="0" xfId="35" applyFont="1"/>
    <xf numFmtId="164" fontId="8" fillId="0" borderId="0" xfId="25" applyFont="1" applyBorder="1"/>
    <xf numFmtId="0" fontId="8" fillId="0" borderId="0" xfId="35" applyFont="1" applyAlignment="1">
      <alignment wrapText="1"/>
    </xf>
    <xf numFmtId="0" fontId="8" fillId="0" borderId="0" xfId="35" applyFont="1" applyAlignment="1">
      <alignment vertical="center" wrapText="1"/>
    </xf>
    <xf numFmtId="0" fontId="8" fillId="0" borderId="11" xfId="10" applyFont="1" applyBorder="1"/>
    <xf numFmtId="0" fontId="9" fillId="0" borderId="4" xfId="10" quotePrefix="1" applyFont="1" applyBorder="1" applyAlignment="1">
      <alignment horizontal="center"/>
    </xf>
    <xf numFmtId="0" fontId="8" fillId="0" borderId="4" xfId="10" applyFont="1" applyBorder="1" applyAlignment="1">
      <alignment wrapText="1"/>
    </xf>
    <xf numFmtId="0" fontId="8" fillId="0" borderId="0" xfId="10" applyFont="1" applyAlignment="1">
      <alignment horizontal="left" wrapText="1"/>
    </xf>
    <xf numFmtId="0" fontId="9" fillId="0" borderId="0" xfId="71" applyFont="1" applyAlignment="1">
      <alignment horizontal="center" vertical="center"/>
    </xf>
    <xf numFmtId="0" fontId="9" fillId="4" borderId="4" xfId="10" quotePrefix="1" applyFont="1" applyFill="1" applyBorder="1" applyAlignment="1">
      <alignment horizontal="center" vertical="top" wrapText="1"/>
    </xf>
    <xf numFmtId="0" fontId="9" fillId="0" borderId="4" xfId="10" applyFont="1" applyBorder="1" applyAlignment="1">
      <alignment horizontal="left" vertical="top" wrapText="1"/>
    </xf>
    <xf numFmtId="2" fontId="8" fillId="0" borderId="0" xfId="10" applyNumberFormat="1" applyFont="1"/>
    <xf numFmtId="9" fontId="8" fillId="0" borderId="0" xfId="40" applyFont="1" applyBorder="1"/>
    <xf numFmtId="0" fontId="8" fillId="0" borderId="4" xfId="10" applyFont="1" applyBorder="1" applyAlignment="1">
      <alignment horizontal="right"/>
    </xf>
    <xf numFmtId="0" fontId="8" fillId="6" borderId="4" xfId="10" applyFont="1" applyFill="1" applyBorder="1" applyAlignment="1">
      <alignment horizontal="right"/>
    </xf>
    <xf numFmtId="183" fontId="8" fillId="0" borderId="0" xfId="40" applyNumberFormat="1" applyFont="1" applyBorder="1"/>
    <xf numFmtId="184" fontId="8" fillId="0" borderId="0" xfId="10" applyNumberFormat="1" applyFont="1"/>
    <xf numFmtId="2" fontId="9" fillId="0" borderId="0" xfId="10" applyNumberFormat="1" applyFont="1"/>
    <xf numFmtId="0" fontId="9" fillId="0" borderId="4" xfId="10" applyFont="1" applyBorder="1" applyAlignment="1">
      <alignment wrapText="1"/>
    </xf>
    <xf numFmtId="0" fontId="8" fillId="0" borderId="0" xfId="10" applyFont="1" applyAlignment="1">
      <alignment horizontal="left" vertical="top"/>
    </xf>
    <xf numFmtId="46" fontId="9" fillId="0" borderId="0" xfId="10" applyNumberFormat="1" applyFont="1" applyAlignment="1">
      <alignment horizontal="left"/>
    </xf>
    <xf numFmtId="164" fontId="9" fillId="0" borderId="0" xfId="10" applyNumberFormat="1" applyFont="1" applyAlignment="1">
      <alignment horizontal="center"/>
    </xf>
    <xf numFmtId="9" fontId="9" fillId="0" borderId="0" xfId="40" quotePrefix="1" applyFont="1" applyFill="1" applyBorder="1" applyAlignment="1">
      <alignment horizontal="right"/>
    </xf>
    <xf numFmtId="164" fontId="9" fillId="0" borderId="0" xfId="83" applyFont="1" applyFill="1" applyBorder="1" applyAlignment="1">
      <alignment horizontal="center"/>
    </xf>
    <xf numFmtId="164" fontId="9" fillId="0" borderId="0" xfId="83" quotePrefix="1" applyFont="1" applyFill="1" applyBorder="1" applyAlignment="1">
      <alignment horizontal="right"/>
    </xf>
    <xf numFmtId="2" fontId="9" fillId="0" borderId="0" xfId="10" applyNumberFormat="1" applyFont="1" applyAlignment="1">
      <alignment horizontal="center"/>
    </xf>
    <xf numFmtId="164" fontId="8" fillId="0" borderId="0" xfId="83" applyFont="1" applyFill="1" applyBorder="1"/>
    <xf numFmtId="174" fontId="8" fillId="0" borderId="0" xfId="10" applyNumberFormat="1" applyFont="1"/>
    <xf numFmtId="0" fontId="8" fillId="0" borderId="0" xfId="34" applyFont="1" applyAlignment="1">
      <alignment wrapText="1"/>
    </xf>
    <xf numFmtId="0" fontId="8" fillId="0" borderId="11" xfId="34" applyFont="1" applyBorder="1" applyAlignment="1">
      <alignment wrapText="1"/>
    </xf>
    <xf numFmtId="0" fontId="8" fillId="0" borderId="0" xfId="34" applyFont="1" applyAlignment="1">
      <alignment horizontal="center" wrapText="1"/>
    </xf>
    <xf numFmtId="0" fontId="9" fillId="0" borderId="0" xfId="71" applyFont="1" applyAlignment="1">
      <alignment vertical="center"/>
    </xf>
    <xf numFmtId="0" fontId="8" fillId="0" borderId="0" xfId="71" applyFont="1" applyAlignment="1">
      <alignment vertical="center"/>
    </xf>
    <xf numFmtId="0" fontId="9" fillId="7" borderId="4" xfId="71" applyFont="1" applyFill="1" applyBorder="1" applyAlignment="1">
      <alignment horizontal="center" vertical="center" wrapText="1"/>
    </xf>
    <xf numFmtId="1" fontId="9" fillId="7" borderId="4" xfId="71" applyNumberFormat="1" applyFont="1" applyFill="1" applyBorder="1" applyAlignment="1">
      <alignment horizontal="center" vertical="center" wrapText="1"/>
    </xf>
    <xf numFmtId="0" fontId="8" fillId="0" borderId="26" xfId="71" applyFont="1" applyBorder="1" applyAlignment="1">
      <alignment horizontal="center" vertical="center"/>
    </xf>
    <xf numFmtId="0" fontId="9" fillId="0" borderId="0" xfId="34" applyFont="1" applyAlignment="1">
      <alignment wrapText="1"/>
    </xf>
    <xf numFmtId="0" fontId="8" fillId="0" borderId="21" xfId="71" applyFont="1" applyBorder="1" applyAlignment="1">
      <alignment vertical="center"/>
    </xf>
    <xf numFmtId="0" fontId="8" fillId="0" borderId="0" xfId="34" applyFont="1" applyAlignment="1">
      <alignment vertical="center" wrapText="1"/>
    </xf>
    <xf numFmtId="2" fontId="8" fillId="0" borderId="0" xfId="34" applyNumberFormat="1" applyFont="1" applyAlignment="1">
      <alignment wrapText="1"/>
    </xf>
    <xf numFmtId="184" fontId="8" fillId="0" borderId="0" xfId="34" applyNumberFormat="1" applyFont="1" applyAlignment="1">
      <alignment horizontal="center" wrapText="1"/>
    </xf>
    <xf numFmtId="2" fontId="8" fillId="0" borderId="0" xfId="34" applyNumberFormat="1" applyFont="1" applyAlignment="1">
      <alignment horizontal="center" wrapText="1"/>
    </xf>
    <xf numFmtId="184" fontId="8" fillId="0" borderId="0" xfId="34" applyNumberFormat="1" applyFont="1" applyAlignment="1">
      <alignment wrapText="1"/>
    </xf>
    <xf numFmtId="185" fontId="9" fillId="0" borderId="0" xfId="84" applyNumberFormat="1" applyFont="1" applyAlignment="1">
      <alignment horizontal="center" wrapText="1"/>
    </xf>
    <xf numFmtId="185" fontId="8" fillId="0" borderId="0" xfId="34" applyNumberFormat="1" applyFont="1" applyAlignment="1">
      <alignment horizontal="center" wrapText="1"/>
    </xf>
    <xf numFmtId="0" fontId="8" fillId="0" borderId="0" xfId="35" applyFont="1" applyAlignment="1">
      <alignment vertical="center"/>
    </xf>
    <xf numFmtId="0" fontId="8" fillId="0" borderId="11" xfId="35" applyFont="1" applyBorder="1" applyAlignment="1">
      <alignment vertical="center" wrapText="1"/>
    </xf>
    <xf numFmtId="2" fontId="8" fillId="0" borderId="0" xfId="35" applyNumberFormat="1" applyFont="1"/>
    <xf numFmtId="0" fontId="9" fillId="0" borderId="0" xfId="35" applyFont="1" applyAlignment="1">
      <alignment horizontal="right" wrapText="1"/>
    </xf>
    <xf numFmtId="0" fontId="8" fillId="0" borderId="0" xfId="35" applyFont="1" applyAlignment="1">
      <alignment horizontal="center" vertical="center"/>
    </xf>
    <xf numFmtId="0" fontId="9" fillId="4" borderId="4" xfId="35" applyFont="1" applyFill="1" applyBorder="1" applyAlignment="1">
      <alignment horizontal="center" vertical="center" wrapText="1"/>
    </xf>
    <xf numFmtId="0" fontId="8" fillId="0" borderId="0" xfId="35" applyFont="1" applyAlignment="1">
      <alignment horizontal="center" vertical="center" wrapText="1"/>
    </xf>
    <xf numFmtId="2" fontId="9" fillId="4" borderId="4" xfId="35" applyNumberFormat="1" applyFont="1" applyFill="1" applyBorder="1" applyAlignment="1">
      <alignment horizontal="center" vertical="center" wrapText="1"/>
    </xf>
    <xf numFmtId="168" fontId="9" fillId="0" borderId="4" xfId="35" quotePrefix="1" applyNumberFormat="1" applyFont="1" applyBorder="1" applyAlignment="1">
      <alignment horizontal="center" vertical="center" wrapText="1"/>
    </xf>
    <xf numFmtId="0" fontId="9" fillId="0" borderId="4" xfId="35" applyFont="1" applyBorder="1" applyAlignment="1">
      <alignment horizontal="justify" vertical="center" wrapText="1"/>
    </xf>
    <xf numFmtId="168" fontId="8" fillId="0" borderId="4" xfId="35" applyNumberFormat="1" applyFont="1" applyBorder="1" applyAlignment="1">
      <alignment horizontal="center" vertical="center"/>
    </xf>
    <xf numFmtId="0" fontId="8" fillId="0" borderId="4" xfId="35" applyFont="1" applyBorder="1" applyAlignment="1">
      <alignment vertical="center" wrapText="1"/>
    </xf>
    <xf numFmtId="0" fontId="8" fillId="0" borderId="4" xfId="84" applyFont="1" applyBorder="1" applyAlignment="1">
      <alignment vertical="center" wrapText="1"/>
    </xf>
    <xf numFmtId="0" fontId="8" fillId="0" borderId="4" xfId="35" applyFont="1" applyBorder="1" applyAlignment="1">
      <alignment horizontal="center" vertical="center"/>
    </xf>
    <xf numFmtId="168" fontId="9" fillId="0" borderId="4" xfId="35" applyNumberFormat="1" applyFont="1" applyBorder="1" applyAlignment="1">
      <alignment horizontal="center" vertical="center"/>
    </xf>
    <xf numFmtId="0" fontId="9" fillId="0" borderId="4" xfId="84" applyFont="1" applyBorder="1" applyAlignment="1">
      <alignment vertical="center" wrapText="1"/>
    </xf>
    <xf numFmtId="168" fontId="9" fillId="0" borderId="4" xfId="71" applyNumberFormat="1" applyFont="1" applyBorder="1" applyAlignment="1">
      <alignment horizontal="center" vertical="center"/>
    </xf>
    <xf numFmtId="168" fontId="8" fillId="0" borderId="4" xfId="71" applyNumberFormat="1" applyFont="1" applyBorder="1" applyAlignment="1">
      <alignment horizontal="center" vertical="center"/>
    </xf>
    <xf numFmtId="0" fontId="8" fillId="0" borderId="4" xfId="71" applyFont="1" applyBorder="1" applyAlignment="1">
      <alignment vertical="center" wrapText="1"/>
    </xf>
    <xf numFmtId="10" fontId="9" fillId="0" borderId="0" xfId="40" applyNumberFormat="1" applyFont="1" applyFill="1" applyBorder="1"/>
    <xf numFmtId="0" fontId="9" fillId="0" borderId="4" xfId="71" applyFont="1" applyBorder="1" applyAlignment="1">
      <alignment vertical="center" wrapText="1"/>
    </xf>
    <xf numFmtId="0" fontId="8" fillId="0" borderId="4" xfId="71" applyFont="1" applyBorder="1" applyAlignment="1">
      <alignment horizontal="center" vertical="center"/>
    </xf>
    <xf numFmtId="0" fontId="9" fillId="0" borderId="4" xfId="84" applyFont="1" applyBorder="1" applyAlignment="1">
      <alignment horizontal="justify" vertical="center" wrapText="1"/>
    </xf>
    <xf numFmtId="0" fontId="9" fillId="0" borderId="4" xfId="35" applyFont="1" applyBorder="1" applyAlignment="1">
      <alignment wrapText="1"/>
    </xf>
    <xf numFmtId="2" fontId="8" fillId="0" borderId="4" xfId="71" applyNumberFormat="1" applyFont="1" applyBorder="1" applyAlignment="1">
      <alignment horizontal="center" vertical="center"/>
    </xf>
    <xf numFmtId="2" fontId="9" fillId="0" borderId="4" xfId="71" applyNumberFormat="1" applyFont="1" applyBorder="1" applyAlignment="1">
      <alignment horizontal="center" vertical="center"/>
    </xf>
    <xf numFmtId="164" fontId="8" fillId="0" borderId="0" xfId="35" applyNumberFormat="1" applyFont="1"/>
    <xf numFmtId="0" fontId="9" fillId="4" borderId="4" xfId="71" applyFont="1" applyFill="1" applyBorder="1" applyAlignment="1">
      <alignment horizontal="center" vertical="center"/>
    </xf>
    <xf numFmtId="0" fontId="9" fillId="4" borderId="4" xfId="71" applyFont="1" applyFill="1" applyBorder="1" applyAlignment="1">
      <alignment horizontal="center" vertical="center" wrapText="1"/>
    </xf>
    <xf numFmtId="0" fontId="9" fillId="4" borderId="4" xfId="71" applyFont="1" applyFill="1" applyBorder="1" applyAlignment="1">
      <alignment horizontal="left" vertical="center" wrapText="1"/>
    </xf>
    <xf numFmtId="0" fontId="8" fillId="0" borderId="0" xfId="71" applyFont="1" applyAlignment="1">
      <alignment horizontal="center" vertical="center"/>
    </xf>
    <xf numFmtId="0" fontId="9" fillId="0" borderId="4" xfId="71" applyFont="1" applyBorder="1" applyAlignment="1">
      <alignment horizontal="justify" vertical="top"/>
    </xf>
    <xf numFmtId="0" fontId="8" fillId="0" borderId="4" xfId="71" applyFont="1" applyBorder="1" applyAlignment="1">
      <alignment horizontal="justify" vertical="top"/>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4" borderId="6" xfId="14" applyFont="1" applyFill="1" applyBorder="1" applyAlignment="1">
      <alignment horizontal="center" vertical="center" wrapText="1"/>
    </xf>
    <xf numFmtId="0" fontId="9" fillId="7" borderId="7" xfId="14" applyFont="1" applyFill="1" applyBorder="1" applyAlignment="1">
      <alignment horizontal="center" vertical="center"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17" fillId="0" borderId="4" xfId="14" applyFont="1" applyBorder="1" applyAlignment="1">
      <alignment horizontal="left" vertical="center"/>
    </xf>
    <xf numFmtId="0" fontId="17" fillId="0" borderId="4" xfId="14" applyFont="1" applyBorder="1" applyAlignment="1">
      <alignment vertical="center" wrapText="1"/>
    </xf>
    <xf numFmtId="0" fontId="17" fillId="10" borderId="4" xfId="14" applyFont="1" applyFill="1" applyBorder="1" applyAlignment="1">
      <alignment horizontal="center" vertical="center"/>
    </xf>
    <xf numFmtId="0" fontId="13" fillId="10" borderId="4" xfId="14" applyFont="1" applyFill="1" applyBorder="1">
      <alignment vertical="center"/>
    </xf>
    <xf numFmtId="0" fontId="17" fillId="10" borderId="4" xfId="14" applyFont="1" applyFill="1" applyBorder="1" applyAlignment="1">
      <alignment horizontal="left" vertical="center"/>
    </xf>
    <xf numFmtId="0" fontId="17" fillId="0" borderId="7" xfId="14" applyFont="1" applyBorder="1" applyAlignment="1">
      <alignment horizontal="center" vertical="center"/>
    </xf>
    <xf numFmtId="0" fontId="17" fillId="6" borderId="7" xfId="14" applyFont="1" applyFill="1" applyBorder="1">
      <alignment vertical="center"/>
    </xf>
    <xf numFmtId="0" fontId="17" fillId="6" borderId="7" xfId="14" applyFont="1" applyFill="1" applyBorder="1" applyAlignment="1">
      <alignment horizontal="left" vertical="center"/>
    </xf>
    <xf numFmtId="0" fontId="8" fillId="0" borderId="4" xfId="29" applyNumberFormat="1" applyFont="1" applyBorder="1" applyAlignment="1">
      <alignment horizontal="left" vertical="top"/>
    </xf>
    <xf numFmtId="164" fontId="9" fillId="0" borderId="0" xfId="29" applyFont="1" applyAlignment="1">
      <alignment horizontal="left" vertical="top"/>
    </xf>
    <xf numFmtId="164" fontId="9" fillId="14" borderId="0" xfId="29" applyFont="1" applyFill="1" applyAlignment="1">
      <alignment horizontal="center" vertical="top"/>
    </xf>
    <xf numFmtId="164" fontId="25" fillId="0" borderId="0" xfId="29" applyFont="1" applyAlignment="1">
      <alignment horizontal="left"/>
    </xf>
    <xf numFmtId="0" fontId="8" fillId="6" borderId="0" xfId="68" applyFont="1" applyFill="1">
      <alignment vertical="center"/>
    </xf>
    <xf numFmtId="0" fontId="9" fillId="6" borderId="0" xfId="31" applyFont="1" applyFill="1" applyAlignment="1">
      <alignment horizontal="left" vertical="top"/>
    </xf>
    <xf numFmtId="0" fontId="8" fillId="0" borderId="0" xfId="10" applyFont="1" applyFill="1" applyAlignment="1">
      <alignment horizontal="center"/>
    </xf>
    <xf numFmtId="10" fontId="8" fillId="14" borderId="0" xfId="40" applyNumberFormat="1" applyFont="1" applyFill="1" applyAlignment="1">
      <alignment horizontal="center" vertical="center"/>
    </xf>
    <xf numFmtId="10" fontId="8" fillId="14" borderId="0" xfId="10" applyNumberFormat="1" applyFont="1" applyFill="1" applyAlignment="1">
      <alignment horizontal="center" vertical="top"/>
    </xf>
    <xf numFmtId="10" fontId="8" fillId="14" borderId="0" xfId="10" applyNumberFormat="1" applyFont="1" applyFill="1" applyAlignment="1">
      <alignment horizontal="center" vertical="center"/>
    </xf>
    <xf numFmtId="0" fontId="8" fillId="0" borderId="4" xfId="10" applyFont="1" applyFill="1" applyBorder="1" applyAlignment="1"/>
    <xf numFmtId="0" fontId="8" fillId="0" borderId="4" xfId="10" applyFont="1" applyFill="1" applyBorder="1" applyAlignment="1">
      <alignment vertical="top" wrapText="1"/>
    </xf>
    <xf numFmtId="0" fontId="8" fillId="0" borderId="4" xfId="10" applyFont="1" applyFill="1" applyBorder="1" applyAlignment="1" applyProtection="1">
      <alignment vertical="top" wrapText="1"/>
    </xf>
    <xf numFmtId="164" fontId="9" fillId="0" borderId="4" xfId="29" applyFont="1" applyFill="1" applyBorder="1" applyAlignment="1">
      <alignment vertical="top" wrapText="1"/>
    </xf>
    <xf numFmtId="186" fontId="10" fillId="0" borderId="4" xfId="40" applyNumberFormat="1" applyFont="1" applyFill="1" applyBorder="1" applyAlignment="1">
      <alignment horizontal="center" vertical="center"/>
    </xf>
    <xf numFmtId="186" fontId="10" fillId="0" borderId="4" xfId="40" applyNumberFormat="1" applyFont="1" applyBorder="1" applyAlignment="1">
      <alignment horizontal="center" vertical="center"/>
    </xf>
    <xf numFmtId="164" fontId="10" fillId="0" borderId="4" xfId="29" applyFont="1" applyFill="1" applyBorder="1" applyAlignment="1">
      <alignment horizontal="center" vertical="center"/>
    </xf>
    <xf numFmtId="43" fontId="11" fillId="0" borderId="4" xfId="69" applyFont="1" applyBorder="1" applyAlignment="1">
      <alignment horizontal="center" vertical="center"/>
    </xf>
    <xf numFmtId="43" fontId="11" fillId="0" borderId="4" xfId="69" applyFont="1" applyBorder="1" applyAlignment="1">
      <alignment horizontal="right" vertical="center"/>
    </xf>
    <xf numFmtId="4" fontId="13" fillId="5" borderId="4" xfId="69" applyNumberFormat="1" applyFont="1" applyFill="1" applyBorder="1" applyAlignment="1">
      <alignment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64" fontId="26" fillId="0" borderId="6" xfId="29" applyFont="1" applyFill="1" applyBorder="1" applyAlignment="1">
      <alignment horizontal="center" vertical="center"/>
    </xf>
    <xf numFmtId="164" fontId="8" fillId="0" borderId="4" xfId="29" applyFont="1" applyFill="1" applyBorder="1" applyAlignment="1">
      <alignment horizontal="center" vertical="center"/>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164" fontId="8" fillId="0" borderId="4" xfId="29" applyFont="1" applyFill="1" applyBorder="1" applyAlignment="1">
      <alignment horizontal="center" vertical="center"/>
    </xf>
    <xf numFmtId="0" fontId="8" fillId="0" borderId="4" xfId="10" applyFont="1" applyFill="1" applyBorder="1" applyAlignment="1">
      <alignment vertical="center"/>
    </xf>
    <xf numFmtId="0" fontId="8" fillId="0" borderId="4" xfId="0" applyFont="1" applyFill="1" applyBorder="1" applyAlignment="1">
      <alignment vertical="top"/>
    </xf>
    <xf numFmtId="0" fontId="8" fillId="0" borderId="4" xfId="0" applyFont="1" applyFill="1" applyBorder="1" applyAlignment="1">
      <alignment horizontal="center" vertical="top"/>
    </xf>
    <xf numFmtId="0" fontId="9" fillId="12" borderId="4" xfId="10" applyFont="1" applyFill="1" applyBorder="1"/>
    <xf numFmtId="0" fontId="9" fillId="12" borderId="4" xfId="10" applyFont="1" applyFill="1" applyBorder="1" applyAlignment="1">
      <alignment horizontal="center"/>
    </xf>
    <xf numFmtId="43" fontId="8" fillId="0" borderId="0" xfId="10" applyNumberFormat="1" applyFont="1" applyBorder="1"/>
    <xf numFmtId="0" fontId="41" fillId="0" borderId="4" xfId="10" applyFont="1" applyBorder="1" applyAlignment="1">
      <alignment wrapText="1"/>
    </xf>
    <xf numFmtId="9" fontId="9" fillId="0" borderId="4" xfId="10" applyNumberFormat="1" applyFont="1" applyBorder="1" applyAlignment="1">
      <alignment horizontal="center"/>
    </xf>
    <xf numFmtId="0" fontId="9" fillId="7" borderId="0" xfId="10" applyFont="1" applyFill="1" applyAlignment="1">
      <alignment horizontal="center" vertical="center"/>
    </xf>
    <xf numFmtId="10" fontId="8" fillId="0" borderId="0" xfId="40" applyNumberFormat="1" applyFont="1" applyFill="1" applyAlignment="1">
      <alignment horizontal="center" vertical="center"/>
    </xf>
    <xf numFmtId="4" fontId="8" fillId="0" borderId="6" xfId="10" applyNumberFormat="1" applyFont="1" applyFill="1" applyBorder="1" applyAlignment="1" applyProtection="1">
      <alignment vertical="center"/>
    </xf>
    <xf numFmtId="164" fontId="9" fillId="0" borderId="4" xfId="29" applyFont="1" applyFill="1" applyBorder="1" applyAlignment="1" applyProtection="1">
      <alignment horizontal="left" vertical="center"/>
    </xf>
    <xf numFmtId="10" fontId="8" fillId="0" borderId="0" xfId="10" applyNumberFormat="1" applyFont="1" applyFill="1" applyAlignment="1">
      <alignment horizontal="center"/>
    </xf>
    <xf numFmtId="10" fontId="9" fillId="0" borderId="0" xfId="10" applyNumberFormat="1" applyFont="1" applyFill="1"/>
    <xf numFmtId="164" fontId="8" fillId="0" borderId="4" xfId="10" applyNumberFormat="1" applyFont="1" applyFill="1" applyBorder="1" applyAlignment="1" applyProtection="1">
      <alignment horizontal="left" vertical="center"/>
    </xf>
    <xf numFmtId="10" fontId="8" fillId="0" borderId="0" xfId="10" applyNumberFormat="1" applyFont="1" applyFill="1"/>
    <xf numFmtId="164" fontId="9" fillId="0" borderId="4" xfId="29" applyFont="1" applyFill="1" applyBorder="1" applyAlignment="1" applyProtection="1">
      <alignment horizontal="left" vertical="center" wrapText="1"/>
    </xf>
    <xf numFmtId="164" fontId="9" fillId="0" borderId="4" xfId="10" applyNumberFormat="1" applyFont="1" applyFill="1" applyBorder="1" applyAlignment="1" applyProtection="1">
      <alignment horizontal="left" vertical="center"/>
    </xf>
    <xf numFmtId="0" fontId="9" fillId="7" borderId="9" xfId="10" applyFont="1" applyFill="1" applyBorder="1" applyAlignment="1">
      <alignment horizontal="center" vertical="center" wrapText="1"/>
    </xf>
    <xf numFmtId="0" fontId="13" fillId="4" borderId="4" xfId="14" applyFont="1" applyFill="1" applyBorder="1" applyAlignment="1">
      <alignment horizontal="center" vertical="center" wrapText="1"/>
    </xf>
    <xf numFmtId="164" fontId="9" fillId="0" borderId="4" xfId="29" applyFont="1" applyBorder="1" applyAlignment="1">
      <alignment vertical="center"/>
    </xf>
    <xf numFmtId="164" fontId="8" fillId="0" borderId="4" xfId="29" applyFont="1" applyFill="1" applyBorder="1" applyAlignment="1">
      <alignment horizontal="center" vertical="center"/>
    </xf>
    <xf numFmtId="43" fontId="8" fillId="0" borderId="10" xfId="69" applyFont="1" applyBorder="1" applyAlignment="1">
      <alignment vertical="center"/>
    </xf>
    <xf numFmtId="43" fontId="8" fillId="0" borderId="6" xfId="69" applyFont="1" applyBorder="1" applyAlignment="1">
      <alignment vertical="center"/>
    </xf>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4" xfId="29" quotePrefix="1" applyFont="1" applyFill="1" applyBorder="1" applyAlignment="1">
      <alignment horizontal="center" vertical="center"/>
    </xf>
    <xf numFmtId="10" fontId="8" fillId="0" borderId="0" xfId="10" applyNumberFormat="1" applyFont="1"/>
    <xf numFmtId="164" fontId="8" fillId="0" borderId="4" xfId="29" applyFont="1" applyFill="1" applyBorder="1" applyAlignment="1">
      <alignment horizontal="center" vertical="center"/>
    </xf>
    <xf numFmtId="164" fontId="8" fillId="14" borderId="4" xfId="29" applyFont="1" applyFill="1" applyBorder="1" applyAlignment="1">
      <alignment horizontal="left" vertical="top"/>
    </xf>
    <xf numFmtId="0" fontId="9" fillId="7" borderId="4" xfId="14" applyFont="1" applyFill="1" applyBorder="1" applyAlignment="1">
      <alignment horizontal="center" vertical="center" wrapText="1"/>
    </xf>
    <xf numFmtId="164" fontId="10" fillId="0" borderId="4" xfId="29" applyFont="1" applyBorder="1" applyAlignment="1">
      <alignment vertical="center"/>
    </xf>
    <xf numFmtId="164" fontId="10" fillId="0" borderId="4" xfId="29" applyFont="1" applyFill="1" applyBorder="1" applyAlignment="1">
      <alignment vertical="center"/>
    </xf>
    <xf numFmtId="164" fontId="10" fillId="0" borderId="4" xfId="14" applyNumberFormat="1" applyFont="1" applyBorder="1">
      <alignment vertical="center"/>
    </xf>
    <xf numFmtId="164" fontId="11" fillId="0" borderId="4" xfId="29" applyFont="1" applyFill="1" applyBorder="1" applyAlignment="1">
      <alignment vertical="center"/>
    </xf>
    <xf numFmtId="0" fontId="10" fillId="0" borderId="4" xfId="14" applyNumberFormat="1" applyFont="1" applyFill="1" applyBorder="1">
      <alignment vertical="center"/>
    </xf>
    <xf numFmtId="10" fontId="8" fillId="14" borderId="4" xfId="70" quotePrefix="1" applyNumberFormat="1" applyFont="1" applyFill="1" applyBorder="1" applyAlignment="1">
      <alignment vertical="center" wrapText="1"/>
    </xf>
    <xf numFmtId="0" fontId="9" fillId="4" borderId="4" xfId="10" applyFont="1" applyFill="1" applyBorder="1" applyAlignment="1">
      <alignment horizontal="center" vertical="center" wrapText="1"/>
    </xf>
    <xf numFmtId="164" fontId="8" fillId="0" borderId="4" xfId="29" applyFont="1" applyFill="1" applyBorder="1" applyAlignment="1">
      <alignment horizontal="center" vertical="center"/>
    </xf>
    <xf numFmtId="0" fontId="9" fillId="4" borderId="4" xfId="14" applyFont="1" applyFill="1" applyBorder="1" applyAlignment="1">
      <alignment horizontal="center" vertical="center" wrapText="1"/>
    </xf>
    <xf numFmtId="0" fontId="25" fillId="0" borderId="0" xfId="10" applyFont="1" applyAlignment="1">
      <alignment horizontal="center"/>
    </xf>
    <xf numFmtId="0" fontId="8" fillId="0" borderId="0" xfId="10" applyFont="1" applyAlignment="1">
      <alignment horizontal="left" vertical="center"/>
    </xf>
    <xf numFmtId="0" fontId="8" fillId="0" borderId="0" xfId="10" applyFont="1" applyAlignment="1">
      <alignment horizontal="justify" vertical="top" wrapText="1"/>
    </xf>
    <xf numFmtId="0" fontId="8" fillId="0" borderId="0" xfId="10" applyFont="1" applyAlignment="1">
      <alignment horizontal="center" vertical="top" wrapText="1"/>
    </xf>
    <xf numFmtId="0" fontId="9" fillId="5" borderId="0" xfId="10" applyFont="1" applyFill="1" applyAlignment="1">
      <alignment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164" fontId="8" fillId="0" borderId="7" xfId="14" applyNumberFormat="1" applyFont="1" applyFill="1" applyBorder="1" applyAlignment="1">
      <alignment vertical="center"/>
    </xf>
    <xf numFmtId="164" fontId="8" fillId="0" borderId="4" xfId="14" applyNumberFormat="1" applyFont="1" applyFill="1" applyBorder="1" applyAlignment="1">
      <alignment vertical="center"/>
    </xf>
    <xf numFmtId="43" fontId="13" fillId="0" borderId="4" xfId="69" applyNumberFormat="1" applyFont="1" applyFill="1" applyBorder="1" applyAlignment="1">
      <alignment vertical="center"/>
    </xf>
    <xf numFmtId="171" fontId="9" fillId="4" borderId="4" xfId="69" applyNumberFormat="1" applyFont="1" applyFill="1" applyBorder="1"/>
    <xf numFmtId="171" fontId="10" fillId="4" borderId="4" xfId="69" applyNumberFormat="1" applyFont="1" applyFill="1" applyBorder="1" applyAlignment="1">
      <alignment vertical="top" wrapText="1"/>
    </xf>
    <xf numFmtId="171" fontId="8" fillId="4" borderId="4" xfId="69" applyNumberFormat="1" applyFont="1" applyFill="1" applyBorder="1" applyAlignment="1">
      <alignment vertical="center"/>
    </xf>
    <xf numFmtId="164" fontId="52" fillId="0" borderId="4" xfId="86" applyFont="1" applyBorder="1" applyAlignment="1">
      <alignment horizontal="right" vertical="center" wrapText="1"/>
    </xf>
    <xf numFmtId="0" fontId="52" fillId="14" borderId="4" xfId="10" applyFont="1" applyFill="1" applyBorder="1"/>
    <xf numFmtId="164" fontId="58" fillId="19" borderId="4" xfId="86" applyFont="1" applyFill="1" applyBorder="1" applyAlignment="1">
      <alignment horizontal="center" vertical="center" wrapText="1"/>
    </xf>
    <xf numFmtId="0" fontId="52" fillId="19" borderId="4" xfId="10" applyFont="1" applyFill="1" applyBorder="1"/>
    <xf numFmtId="0" fontId="54" fillId="18" borderId="4" xfId="10" applyFont="1" applyFill="1" applyBorder="1" applyAlignment="1">
      <alignment horizontal="left"/>
    </xf>
    <xf numFmtId="0" fontId="54" fillId="18" borderId="4" xfId="10" applyFont="1" applyFill="1" applyBorder="1" applyAlignment="1">
      <alignment horizontal="center" vertical="center" wrapText="1"/>
    </xf>
    <xf numFmtId="0" fontId="54" fillId="18" borderId="4" xfId="10" applyFont="1" applyFill="1" applyBorder="1" applyAlignment="1">
      <alignment horizontal="center" vertical="center"/>
    </xf>
    <xf numFmtId="178" fontId="54" fillId="18" borderId="4" xfId="10" applyNumberFormat="1" applyFont="1" applyFill="1" applyBorder="1" applyAlignment="1">
      <alignment horizontal="center" vertical="center"/>
    </xf>
    <xf numFmtId="0" fontId="54" fillId="18" borderId="4" xfId="10" applyFont="1" applyFill="1" applyBorder="1" applyAlignment="1">
      <alignment vertical="center"/>
    </xf>
    <xf numFmtId="178" fontId="54" fillId="18" borderId="4" xfId="10" applyNumberFormat="1" applyFont="1" applyFill="1" applyBorder="1" applyAlignment="1">
      <alignment horizontal="center" vertical="center" wrapText="1"/>
    </xf>
    <xf numFmtId="0" fontId="60" fillId="20" borderId="4" xfId="10" applyFont="1" applyFill="1" applyBorder="1" applyAlignment="1">
      <alignment vertical="center"/>
    </xf>
    <xf numFmtId="0" fontId="52" fillId="6" borderId="4" xfId="10" applyFont="1" applyFill="1" applyBorder="1" applyAlignment="1">
      <alignment vertical="center"/>
    </xf>
    <xf numFmtId="178" fontId="52" fillId="6" borderId="4" xfId="10" applyNumberFormat="1" applyFont="1" applyFill="1" applyBorder="1" applyAlignment="1">
      <alignment horizontal="center" vertical="center"/>
    </xf>
    <xf numFmtId="164" fontId="52" fillId="6" borderId="4" xfId="86" applyFont="1" applyFill="1" applyBorder="1" applyAlignment="1">
      <alignment horizontal="right" vertical="center" wrapText="1"/>
    </xf>
    <xf numFmtId="178" fontId="52" fillId="6" borderId="4" xfId="10" applyNumberFormat="1" applyFont="1" applyFill="1" applyBorder="1" applyAlignment="1">
      <alignment horizontal="center" vertical="center" wrapText="1"/>
    </xf>
    <xf numFmtId="14" fontId="52" fillId="6" borderId="4" xfId="10" applyNumberFormat="1" applyFont="1" applyFill="1" applyBorder="1" applyAlignment="1">
      <alignment vertical="center"/>
    </xf>
    <xf numFmtId="0" fontId="52" fillId="6" borderId="4" xfId="10" applyFont="1" applyFill="1" applyBorder="1" applyAlignment="1">
      <alignment vertical="center" wrapText="1"/>
    </xf>
    <xf numFmtId="17" fontId="54" fillId="6" borderId="4" xfId="10" applyNumberFormat="1" applyFont="1" applyFill="1" applyBorder="1" applyAlignment="1">
      <alignment horizontal="center" vertical="center"/>
    </xf>
    <xf numFmtId="0" fontId="52" fillId="0" borderId="4" xfId="10" applyFont="1" applyBorder="1" applyAlignment="1">
      <alignment vertical="center"/>
    </xf>
    <xf numFmtId="178" fontId="52" fillId="0" borderId="4" xfId="10" applyNumberFormat="1" applyFont="1" applyBorder="1" applyAlignment="1">
      <alignment horizontal="center" vertical="center"/>
    </xf>
    <xf numFmtId="178" fontId="52" fillId="0" borderId="4" xfId="10" applyNumberFormat="1" applyFont="1" applyBorder="1" applyAlignment="1">
      <alignment horizontal="center" vertical="center" wrapText="1"/>
    </xf>
    <xf numFmtId="0" fontId="52" fillId="0" borderId="4" xfId="10" applyFont="1" applyBorder="1" applyAlignment="1">
      <alignment horizontal="center" vertical="center"/>
    </xf>
    <xf numFmtId="0" fontId="54" fillId="18" borderId="4" xfId="10" applyFont="1" applyFill="1" applyBorder="1" applyAlignment="1">
      <alignment horizontal="left" vertical="center"/>
    </xf>
    <xf numFmtId="0" fontId="60" fillId="6" borderId="4" xfId="10" applyFont="1" applyFill="1" applyBorder="1" applyAlignment="1">
      <alignment vertical="center"/>
    </xf>
    <xf numFmtId="0" fontId="52" fillId="6" borderId="4" xfId="10" applyFont="1" applyFill="1" applyBorder="1" applyAlignment="1">
      <alignment horizontal="center" vertical="center"/>
    </xf>
    <xf numFmtId="0" fontId="52" fillId="0" borderId="0" xfId="90" applyFont="1" applyAlignment="1">
      <alignment vertical="center"/>
    </xf>
    <xf numFmtId="0" fontId="52" fillId="6" borderId="4" xfId="90" applyFont="1" applyFill="1" applyBorder="1" applyAlignment="1">
      <alignment vertical="center"/>
    </xf>
    <xf numFmtId="178" fontId="52" fillId="6" borderId="4" xfId="90" applyNumberFormat="1" applyFont="1" applyFill="1" applyBorder="1" applyAlignment="1">
      <alignment horizontal="center" vertical="center"/>
    </xf>
    <xf numFmtId="164" fontId="52" fillId="6" borderId="4" xfId="93" applyFont="1" applyFill="1" applyBorder="1" applyAlignment="1">
      <alignment horizontal="right" vertical="center" wrapText="1"/>
    </xf>
    <xf numFmtId="178" fontId="52" fillId="6" borderId="4" xfId="90" applyNumberFormat="1" applyFont="1" applyFill="1" applyBorder="1" applyAlignment="1">
      <alignment horizontal="center" vertical="center" wrapText="1"/>
    </xf>
    <xf numFmtId="0" fontId="52" fillId="0" borderId="4" xfId="90" applyFont="1" applyBorder="1" applyAlignment="1">
      <alignment horizontal="center" vertical="center"/>
    </xf>
    <xf numFmtId="164" fontId="58" fillId="6" borderId="4" xfId="93" applyFont="1" applyFill="1" applyBorder="1" applyAlignment="1">
      <alignment horizontal="center" vertical="center" wrapText="1"/>
    </xf>
    <xf numFmtId="0" fontId="60" fillId="21" borderId="4" xfId="10" applyFont="1" applyFill="1" applyBorder="1" applyAlignment="1">
      <alignment vertical="center"/>
    </xf>
    <xf numFmtId="0" fontId="52" fillId="14" borderId="4" xfId="10" applyFont="1" applyFill="1" applyBorder="1" applyAlignment="1">
      <alignment vertical="center"/>
    </xf>
    <xf numFmtId="164" fontId="52" fillId="0" borderId="4" xfId="86" applyFont="1" applyFill="1" applyBorder="1" applyAlignment="1">
      <alignment horizontal="right" vertical="center" wrapText="1"/>
    </xf>
    <xf numFmtId="0" fontId="60" fillId="22" borderId="4" xfId="10" applyFont="1" applyFill="1" applyBorder="1" applyAlignment="1">
      <alignment vertical="center"/>
    </xf>
    <xf numFmtId="0" fontId="52" fillId="19" borderId="4" xfId="10" applyFont="1" applyFill="1" applyBorder="1" applyAlignment="1">
      <alignment vertical="center"/>
    </xf>
    <xf numFmtId="178" fontId="52" fillId="19" borderId="4" xfId="10" applyNumberFormat="1" applyFont="1" applyFill="1" applyBorder="1" applyAlignment="1">
      <alignment horizontal="center" vertical="center" wrapText="1"/>
    </xf>
    <xf numFmtId="164" fontId="58" fillId="0" borderId="4" xfId="86" applyFont="1" applyFill="1" applyBorder="1" applyAlignment="1">
      <alignment horizontal="center" vertical="center" wrapText="1"/>
    </xf>
    <xf numFmtId="17" fontId="54" fillId="14" borderId="4" xfId="10" applyNumberFormat="1" applyFont="1" applyFill="1" applyBorder="1" applyAlignment="1">
      <alignment horizontal="center" vertical="center"/>
    </xf>
    <xf numFmtId="164" fontId="59" fillId="0" borderId="4" xfId="86" applyFont="1" applyFill="1" applyBorder="1" applyAlignment="1">
      <alignment vertical="center" wrapText="1"/>
    </xf>
    <xf numFmtId="164" fontId="59" fillId="0" borderId="4" xfId="86" applyFont="1" applyFill="1" applyBorder="1" applyAlignment="1">
      <alignment vertical="center"/>
    </xf>
    <xf numFmtId="0" fontId="54" fillId="18" borderId="4" xfId="58" applyFont="1" applyFill="1" applyBorder="1" applyAlignment="1">
      <alignment horizontal="center" vertical="center" wrapText="1"/>
    </xf>
    <xf numFmtId="14" fontId="68" fillId="18" borderId="19" xfId="10" applyNumberFormat="1" applyFont="1" applyFill="1" applyBorder="1" applyAlignment="1">
      <alignment horizontal="center" vertical="center" wrapText="1"/>
    </xf>
    <xf numFmtId="0" fontId="68" fillId="18" borderId="19" xfId="10" applyFont="1" applyFill="1" applyBorder="1" applyAlignment="1">
      <alignment horizontal="center" vertical="center" wrapText="1"/>
    </xf>
    <xf numFmtId="0" fontId="68" fillId="18" borderId="19" xfId="10" applyFont="1" applyFill="1" applyBorder="1" applyAlignment="1">
      <alignment vertical="center" wrapText="1"/>
    </xf>
    <xf numFmtId="0" fontId="68" fillId="18" borderId="18" xfId="10" applyFont="1" applyFill="1" applyBorder="1" applyAlignment="1">
      <alignment vertical="center"/>
    </xf>
    <xf numFmtId="14" fontId="69" fillId="0" borderId="4" xfId="10" applyNumberFormat="1" applyFont="1" applyBorder="1" applyAlignment="1">
      <alignment horizontal="center" vertical="center" wrapText="1"/>
    </xf>
    <xf numFmtId="0" fontId="69" fillId="0" borderId="4" xfId="10" applyFont="1" applyBorder="1" applyAlignment="1">
      <alignment horizontal="center" vertical="center"/>
    </xf>
    <xf numFmtId="0" fontId="68" fillId="18" borderId="4" xfId="10" applyFont="1" applyFill="1" applyBorder="1" applyAlignment="1">
      <alignment horizontal="left" vertical="center"/>
    </xf>
    <xf numFmtId="0" fontId="69" fillId="0" borderId="0" xfId="10" applyFont="1" applyAlignment="1">
      <alignment vertical="center"/>
    </xf>
    <xf numFmtId="43" fontId="52" fillId="0" borderId="0" xfId="10" applyNumberFormat="1" applyFont="1" applyAlignment="1">
      <alignment vertical="center"/>
    </xf>
    <xf numFmtId="0" fontId="69" fillId="0" borderId="4" xfId="10" applyFont="1" applyBorder="1" applyAlignment="1">
      <alignment horizontal="center" vertical="center" wrapText="1"/>
    </xf>
    <xf numFmtId="0" fontId="69" fillId="0" borderId="4" xfId="10" applyFont="1" applyBorder="1" applyAlignment="1">
      <alignment vertical="center" wrapText="1"/>
    </xf>
    <xf numFmtId="0" fontId="68" fillId="18" borderId="4" xfId="10" applyFont="1" applyFill="1" applyBorder="1" applyAlignment="1">
      <alignment horizontal="left"/>
    </xf>
    <xf numFmtId="0" fontId="68" fillId="18" borderId="4" xfId="10" applyFont="1" applyFill="1" applyBorder="1" applyAlignment="1">
      <alignment vertical="center" wrapText="1"/>
    </xf>
    <xf numFmtId="14" fontId="69" fillId="0" borderId="0" xfId="10" applyNumberFormat="1" applyFont="1" applyAlignment="1">
      <alignment horizontal="center" vertical="center" wrapText="1"/>
    </xf>
    <xf numFmtId="0" fontId="69" fillId="0" borderId="0" xfId="10" applyFont="1" applyAlignment="1">
      <alignment horizontal="center" vertical="center" wrapText="1"/>
    </xf>
    <xf numFmtId="0" fontId="69" fillId="0" borderId="0" xfId="10" applyFont="1" applyAlignment="1">
      <alignment vertical="center" wrapText="1"/>
    </xf>
    <xf numFmtId="0" fontId="68" fillId="0" borderId="0" xfId="10" applyFont="1" applyAlignment="1">
      <alignment vertical="center"/>
    </xf>
    <xf numFmtId="0" fontId="54" fillId="0" borderId="0" xfId="10" applyFont="1" applyAlignment="1">
      <alignment horizontal="center" vertical="center" wrapText="1"/>
    </xf>
    <xf numFmtId="0" fontId="68" fillId="0" borderId="11" xfId="15" applyFont="1" applyBorder="1" applyAlignment="1">
      <alignment horizontal="center" vertical="center"/>
    </xf>
    <xf numFmtId="0" fontId="54" fillId="0" borderId="11" xfId="15" applyFont="1" applyBorder="1" applyAlignment="1">
      <alignment horizontal="center" vertical="center" wrapText="1"/>
    </xf>
    <xf numFmtId="0" fontId="68" fillId="18" borderId="4" xfId="10" applyFont="1" applyFill="1" applyBorder="1" applyAlignment="1">
      <alignment horizontal="center" vertical="center"/>
    </xf>
    <xf numFmtId="0" fontId="68" fillId="18" borderId="4" xfId="10" applyFont="1" applyFill="1" applyBorder="1" applyAlignment="1">
      <alignment vertical="center"/>
    </xf>
    <xf numFmtId="178" fontId="68" fillId="18" borderId="4" xfId="10" applyNumberFormat="1" applyFont="1" applyFill="1" applyBorder="1" applyAlignment="1">
      <alignment horizontal="center" vertical="center"/>
    </xf>
    <xf numFmtId="178" fontId="68" fillId="18" borderId="4" xfId="10" applyNumberFormat="1" applyFont="1" applyFill="1" applyBorder="1" applyAlignment="1">
      <alignment horizontal="center" vertical="center" wrapText="1"/>
    </xf>
    <xf numFmtId="0" fontId="69" fillId="14" borderId="4" xfId="10" applyFont="1" applyFill="1" applyBorder="1" applyAlignment="1">
      <alignment vertical="center"/>
    </xf>
    <xf numFmtId="178" fontId="69" fillId="0" borderId="4" xfId="10" applyNumberFormat="1" applyFont="1" applyBorder="1" applyAlignment="1">
      <alignment horizontal="center" vertical="center"/>
    </xf>
    <xf numFmtId="0" fontId="69" fillId="19" borderId="4" xfId="10" applyFont="1" applyFill="1" applyBorder="1" applyAlignment="1">
      <alignment vertical="center"/>
    </xf>
    <xf numFmtId="164" fontId="69" fillId="0" borderId="4" xfId="86" applyFont="1" applyBorder="1" applyAlignment="1">
      <alignment horizontal="right" vertical="center" wrapText="1"/>
    </xf>
    <xf numFmtId="0" fontId="17" fillId="0" borderId="5" xfId="10" applyFont="1" applyBorder="1" applyAlignment="1">
      <alignment horizontal="left" vertical="top"/>
    </xf>
    <xf numFmtId="0" fontId="17" fillId="0" borderId="5" xfId="10" applyFont="1" applyBorder="1" applyAlignment="1">
      <alignment vertical="top"/>
    </xf>
    <xf numFmtId="0" fontId="69" fillId="0" borderId="4" xfId="10" applyFont="1" applyBorder="1" applyAlignment="1">
      <alignment vertical="center"/>
    </xf>
    <xf numFmtId="178" fontId="69" fillId="0" borderId="4" xfId="10" applyNumberFormat="1" applyFont="1" applyBorder="1" applyAlignment="1">
      <alignment horizontal="center" vertical="center" wrapText="1"/>
    </xf>
    <xf numFmtId="0" fontId="69" fillId="6" borderId="4" xfId="10" applyFont="1" applyFill="1" applyBorder="1" applyAlignment="1">
      <alignment vertical="center"/>
    </xf>
    <xf numFmtId="0" fontId="69" fillId="6" borderId="4" xfId="10" applyFont="1" applyFill="1" applyBorder="1" applyAlignment="1">
      <alignment horizontal="left" vertical="center" wrapText="1"/>
    </xf>
    <xf numFmtId="0" fontId="68" fillId="6" borderId="4" xfId="10" applyFont="1" applyFill="1" applyBorder="1" applyAlignment="1">
      <alignment vertical="center"/>
    </xf>
    <xf numFmtId="178" fontId="68" fillId="6" borderId="4" xfId="10" applyNumberFormat="1" applyFont="1" applyFill="1" applyBorder="1" applyAlignment="1">
      <alignment horizontal="center" vertical="center"/>
    </xf>
    <xf numFmtId="0" fontId="68" fillId="6" borderId="4" xfId="10" applyFont="1" applyFill="1" applyBorder="1" applyAlignment="1">
      <alignment vertical="center" wrapText="1"/>
    </xf>
    <xf numFmtId="178" fontId="68" fillId="6" borderId="4" xfId="10" applyNumberFormat="1" applyFont="1" applyFill="1" applyBorder="1" applyAlignment="1">
      <alignment horizontal="center" vertical="center" wrapText="1"/>
    </xf>
    <xf numFmtId="0" fontId="68" fillId="6" borderId="4" xfId="10" applyFont="1" applyFill="1" applyBorder="1" applyAlignment="1">
      <alignment horizontal="center" vertical="center"/>
    </xf>
    <xf numFmtId="0" fontId="69" fillId="0" borderId="4" xfId="10" applyFont="1" applyBorder="1" applyAlignment="1">
      <alignment horizontal="left" vertical="center" wrapText="1"/>
    </xf>
    <xf numFmtId="4" fontId="69" fillId="0" borderId="4" xfId="10" applyNumberFormat="1" applyFont="1" applyBorder="1" applyAlignment="1">
      <alignment vertical="center"/>
    </xf>
    <xf numFmtId="0" fontId="68" fillId="6" borderId="7" xfId="10" applyFont="1" applyFill="1" applyBorder="1" applyAlignment="1">
      <alignment horizontal="center" vertical="center"/>
    </xf>
    <xf numFmtId="0" fontId="68" fillId="6" borderId="7" xfId="10" applyFont="1" applyFill="1" applyBorder="1" applyAlignment="1">
      <alignment vertical="center"/>
    </xf>
    <xf numFmtId="178" fontId="68" fillId="6" borderId="7" xfId="10" applyNumberFormat="1" applyFont="1" applyFill="1" applyBorder="1" applyAlignment="1">
      <alignment horizontal="center" vertical="center"/>
    </xf>
    <xf numFmtId="0" fontId="68" fillId="6" borderId="7" xfId="10" applyFont="1" applyFill="1" applyBorder="1" applyAlignment="1">
      <alignment vertical="center" wrapText="1"/>
    </xf>
    <xf numFmtId="178" fontId="68" fillId="6" borderId="7" xfId="10" applyNumberFormat="1" applyFont="1" applyFill="1" applyBorder="1" applyAlignment="1">
      <alignment horizontal="center" vertical="center" wrapText="1"/>
    </xf>
    <xf numFmtId="164" fontId="71" fillId="0" borderId="4" xfId="86" applyFont="1" applyFill="1" applyBorder="1" applyAlignment="1">
      <alignment vertical="center" wrapText="1"/>
    </xf>
    <xf numFmtId="0" fontId="80" fillId="21" borderId="4" xfId="10" applyFont="1" applyFill="1" applyBorder="1" applyAlignment="1">
      <alignment vertical="center"/>
    </xf>
    <xf numFmtId="0" fontId="80" fillId="22" borderId="4" xfId="10" applyFont="1" applyFill="1" applyBorder="1" applyAlignment="1">
      <alignment vertical="center"/>
    </xf>
    <xf numFmtId="178" fontId="80" fillId="22" borderId="4" xfId="10" applyNumberFormat="1" applyFont="1" applyFill="1" applyBorder="1" applyAlignment="1">
      <alignment horizontal="center" vertical="center" wrapText="1"/>
    </xf>
    <xf numFmtId="164" fontId="70" fillId="0" borderId="4" xfId="86" applyFont="1" applyFill="1" applyBorder="1" applyAlignment="1">
      <alignment horizontal="center" vertical="center" wrapText="1"/>
    </xf>
    <xf numFmtId="164" fontId="71" fillId="0" borderId="4" xfId="86" applyFont="1" applyFill="1" applyBorder="1" applyAlignment="1">
      <alignment vertical="center"/>
    </xf>
    <xf numFmtId="0" fontId="69" fillId="19" borderId="6" xfId="10" applyFont="1" applyFill="1" applyBorder="1" applyAlignment="1">
      <alignment horizontal="center" vertical="center"/>
    </xf>
    <xf numFmtId="164" fontId="71" fillId="0" borderId="6" xfId="86" applyFont="1" applyFill="1" applyBorder="1" applyAlignment="1">
      <alignment horizontal="center" vertical="center"/>
    </xf>
    <xf numFmtId="0" fontId="69" fillId="19" borderId="10" xfId="10" applyFont="1" applyFill="1" applyBorder="1" applyAlignment="1">
      <alignment horizontal="center" vertical="center"/>
    </xf>
    <xf numFmtId="164" fontId="71" fillId="0" borderId="10" xfId="86" applyFont="1" applyFill="1" applyBorder="1" applyAlignment="1">
      <alignment horizontal="center" vertical="center"/>
    </xf>
    <xf numFmtId="164" fontId="71" fillId="14" borderId="4" xfId="86" applyFont="1" applyFill="1" applyBorder="1" applyAlignment="1">
      <alignment vertical="center"/>
    </xf>
    <xf numFmtId="164" fontId="66" fillId="0" borderId="4" xfId="86" applyFont="1" applyFill="1" applyBorder="1" applyAlignment="1">
      <alignment vertical="center"/>
    </xf>
    <xf numFmtId="0" fontId="69" fillId="14" borderId="6" xfId="10" applyFont="1" applyFill="1" applyBorder="1" applyAlignment="1">
      <alignment horizontal="center" vertical="center"/>
    </xf>
    <xf numFmtId="0" fontId="69" fillId="14" borderId="10" xfId="10" applyFont="1" applyFill="1" applyBorder="1" applyAlignment="1">
      <alignment horizontal="center" vertical="center"/>
    </xf>
    <xf numFmtId="0" fontId="68" fillId="18" borderId="4" xfId="58" applyFont="1" applyFill="1" applyBorder="1" applyAlignment="1">
      <alignment horizontal="center" vertical="center" wrapText="1"/>
    </xf>
    <xf numFmtId="0" fontId="68" fillId="18" borderId="4" xfId="10" applyFont="1" applyFill="1" applyBorder="1" applyAlignment="1">
      <alignment horizontal="center" vertical="center" wrapText="1"/>
    </xf>
    <xf numFmtId="0" fontId="68" fillId="6" borderId="10" xfId="10" applyFont="1" applyFill="1" applyBorder="1" applyAlignment="1">
      <alignment horizontal="center" vertical="center"/>
    </xf>
    <xf numFmtId="0" fontId="68" fillId="6" borderId="14" xfId="10" applyFont="1" applyFill="1" applyBorder="1" applyAlignment="1">
      <alignment horizontal="center" vertical="center"/>
    </xf>
    <xf numFmtId="0" fontId="69" fillId="0" borderId="10" xfId="10" applyFont="1" applyBorder="1" applyAlignment="1">
      <alignment horizontal="centerContinuous" vertical="center"/>
    </xf>
    <xf numFmtId="0" fontId="68" fillId="0" borderId="10" xfId="10" applyFont="1" applyBorder="1" applyAlignment="1">
      <alignment horizontal="centerContinuous" vertical="center"/>
    </xf>
    <xf numFmtId="178" fontId="68" fillId="0" borderId="10" xfId="10" applyNumberFormat="1" applyFont="1" applyBorder="1" applyAlignment="1">
      <alignment horizontal="center" vertical="center"/>
    </xf>
    <xf numFmtId="178" fontId="68" fillId="0" borderId="10" xfId="10" applyNumberFormat="1" applyFont="1" applyBorder="1" applyAlignment="1">
      <alignment horizontal="center" vertical="center" wrapText="1"/>
    </xf>
    <xf numFmtId="0" fontId="68" fillId="0" borderId="10" xfId="10" applyFont="1" applyBorder="1" applyAlignment="1">
      <alignment horizontal="center" vertical="center"/>
    </xf>
    <xf numFmtId="0" fontId="68" fillId="5" borderId="10" xfId="10" applyFont="1" applyFill="1" applyBorder="1" applyAlignment="1">
      <alignment horizontal="left" vertical="center"/>
    </xf>
    <xf numFmtId="0" fontId="52" fillId="0" borderId="0" xfId="10" applyFont="1" applyAlignment="1">
      <alignment horizontal="center" vertical="center" wrapText="1"/>
    </xf>
    <xf numFmtId="14" fontId="54" fillId="18" borderId="19" xfId="10" applyNumberFormat="1" applyFont="1" applyFill="1" applyBorder="1" applyAlignment="1">
      <alignment horizontal="center" vertical="center" wrapText="1"/>
    </xf>
    <xf numFmtId="0" fontId="54" fillId="18" borderId="19" xfId="10" applyFont="1" applyFill="1" applyBorder="1" applyAlignment="1">
      <alignment horizontal="center" vertical="center" wrapText="1"/>
    </xf>
    <xf numFmtId="0" fontId="54" fillId="18" borderId="19" xfId="10" applyFont="1" applyFill="1" applyBorder="1" applyAlignment="1">
      <alignment vertical="center" wrapText="1"/>
    </xf>
    <xf numFmtId="0" fontId="54" fillId="18" borderId="18" xfId="10" applyFont="1" applyFill="1" applyBorder="1" applyAlignment="1">
      <alignment vertical="center"/>
    </xf>
    <xf numFmtId="14" fontId="52" fillId="0" borderId="4" xfId="10" applyNumberFormat="1" applyFont="1" applyBorder="1" applyAlignment="1">
      <alignment horizontal="center" vertical="center" wrapText="1"/>
    </xf>
    <xf numFmtId="0" fontId="54" fillId="18" borderId="4" xfId="10" applyFont="1" applyFill="1" applyBorder="1" applyAlignment="1">
      <alignment vertical="center" wrapText="1"/>
    </xf>
    <xf numFmtId="0" fontId="54" fillId="0" borderId="0" xfId="10" applyFont="1" applyAlignment="1">
      <alignment vertical="center"/>
    </xf>
    <xf numFmtId="10" fontId="8" fillId="0" borderId="4" xfId="14" applyNumberFormat="1" applyFont="1" applyFill="1" applyBorder="1">
      <alignment vertical="center"/>
    </xf>
    <xf numFmtId="0" fontId="0" fillId="0" borderId="0" xfId="0" applyFill="1" applyBorder="1"/>
    <xf numFmtId="0" fontId="0" fillId="0" borderId="0" xfId="0" applyBorder="1" applyAlignment="1">
      <alignment wrapText="1"/>
    </xf>
    <xf numFmtId="0" fontId="8" fillId="0" borderId="0" xfId="14" applyFont="1" applyFill="1" applyBorder="1" applyAlignment="1">
      <alignment vertical="top" wrapText="1"/>
    </xf>
    <xf numFmtId="0" fontId="8" fillId="0" borderId="0" xfId="14" applyFont="1" applyBorder="1" applyAlignment="1">
      <alignment vertical="top" wrapText="1"/>
    </xf>
    <xf numFmtId="0" fontId="9" fillId="0" borderId="0" xfId="14" applyFont="1" applyFill="1" applyBorder="1">
      <alignment vertical="center"/>
    </xf>
    <xf numFmtId="0" fontId="8" fillId="0" borderId="0" xfId="14" applyFont="1" applyBorder="1" applyAlignment="1">
      <alignment vertical="center" wrapText="1"/>
    </xf>
    <xf numFmtId="177" fontId="8" fillId="0" borderId="0" xfId="29" applyNumberFormat="1" applyFont="1" applyBorder="1" applyAlignment="1">
      <alignment vertical="center"/>
    </xf>
    <xf numFmtId="164" fontId="8" fillId="0" borderId="0" xfId="29" applyFont="1" applyBorder="1" applyAlignment="1">
      <alignment vertical="center"/>
    </xf>
    <xf numFmtId="164" fontId="51" fillId="0" borderId="0" xfId="72" applyFont="1" applyBorder="1" applyAlignment="1">
      <alignment vertical="center"/>
    </xf>
    <xf numFmtId="0" fontId="9" fillId="0" borderId="0" xfId="14" applyFont="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0" borderId="0" xfId="10" applyFont="1" applyAlignment="1">
      <alignment horizontal="center" vertical="center"/>
    </xf>
    <xf numFmtId="0" fontId="28" fillId="0" borderId="0" xfId="14" applyFont="1">
      <alignment vertical="center"/>
    </xf>
    <xf numFmtId="0" fontId="31" fillId="0" borderId="4" xfId="94" applyFont="1" applyBorder="1" applyAlignment="1">
      <alignment vertical="center"/>
    </xf>
    <xf numFmtId="0" fontId="31" fillId="0" borderId="4" xfId="94" applyFont="1" applyBorder="1" applyAlignment="1">
      <alignment horizontal="center" vertical="center"/>
    </xf>
    <xf numFmtId="0" fontId="30" fillId="0" borderId="4" xfId="94" applyFont="1" applyBorder="1" applyAlignment="1">
      <alignment vertical="center"/>
    </xf>
    <xf numFmtId="0" fontId="30" fillId="0" borderId="4" xfId="94" applyFont="1" applyBorder="1" applyAlignment="1">
      <alignment horizontal="center" vertical="center"/>
    </xf>
    <xf numFmtId="0" fontId="30" fillId="0" borderId="0" xfId="94" applyFont="1" applyAlignment="1">
      <alignment vertical="center"/>
    </xf>
    <xf numFmtId="0" fontId="30" fillId="0" borderId="0" xfId="94" applyFont="1" applyAlignment="1">
      <alignment horizontal="center" vertical="center"/>
    </xf>
    <xf numFmtId="0" fontId="8" fillId="0" borderId="0" xfId="15" applyFont="1">
      <alignment vertical="center"/>
    </xf>
    <xf numFmtId="164" fontId="10" fillId="0" borderId="4" xfId="95" applyNumberFormat="1" applyFont="1" applyFill="1" applyBorder="1" applyAlignment="1">
      <alignment vertical="center"/>
    </xf>
    <xf numFmtId="164" fontId="11" fillId="0" borderId="4" xfId="95" applyNumberFormat="1" applyFont="1" applyBorder="1" applyAlignment="1">
      <alignment vertical="center"/>
    </xf>
    <xf numFmtId="164" fontId="8" fillId="0" borderId="4" xfId="29" applyFont="1" applyFill="1" applyBorder="1" applyAlignment="1">
      <alignment horizontal="center" vertical="center"/>
    </xf>
    <xf numFmtId="43" fontId="8" fillId="0" borderId="4" xfId="69" applyFont="1" applyFill="1" applyBorder="1" applyAlignment="1">
      <alignment vertical="top" wrapText="1"/>
    </xf>
    <xf numFmtId="43" fontId="8" fillId="0" borderId="8" xfId="69" applyFont="1" applyFill="1" applyBorder="1" applyAlignment="1">
      <alignment vertical="top" wrapText="1"/>
    </xf>
    <xf numFmtId="0" fontId="8" fillId="0" borderId="0" xfId="10" applyFont="1" applyAlignment="1">
      <alignment horizontal="center" vertical="center"/>
    </xf>
    <xf numFmtId="0" fontId="9" fillId="0" borderId="0" xfId="10" applyFont="1" applyAlignment="1">
      <alignment horizontal="left" vertical="center" wrapText="1"/>
    </xf>
    <xf numFmtId="43" fontId="9" fillId="0" borderId="0" xfId="10" applyNumberFormat="1" applyFont="1" applyAlignment="1">
      <alignment horizontal="left" vertical="center" wrapText="1"/>
    </xf>
    <xf numFmtId="0" fontId="9" fillId="0" borderId="0" xfId="10" applyFont="1" applyAlignment="1">
      <alignment horizontal="left" vertical="center"/>
    </xf>
    <xf numFmtId="43" fontId="9" fillId="0" borderId="0" xfId="10" applyNumberFormat="1" applyFont="1" applyAlignment="1">
      <alignment horizontal="left" vertical="center"/>
    </xf>
    <xf numFmtId="43" fontId="9" fillId="0" borderId="0" xfId="10" applyNumberFormat="1" applyFont="1" applyAlignment="1">
      <alignment vertical="center"/>
    </xf>
    <xf numFmtId="43" fontId="8" fillId="0" borderId="0" xfId="69" applyFont="1" applyBorder="1" applyAlignment="1">
      <alignment vertical="top"/>
    </xf>
    <xf numFmtId="43" fontId="9" fillId="0" borderId="0" xfId="69" applyFont="1" applyBorder="1" applyAlignment="1"/>
    <xf numFmtId="43" fontId="9" fillId="0" borderId="0" xfId="69" applyFont="1" applyFill="1" applyAlignment="1">
      <alignment vertical="center"/>
    </xf>
    <xf numFmtId="43" fontId="8" fillId="0" borderId="0" xfId="69" applyFont="1" applyFill="1" applyAlignment="1">
      <alignment vertical="center"/>
    </xf>
    <xf numFmtId="43" fontId="9" fillId="0" borderId="0" xfId="69" applyFont="1" applyAlignment="1">
      <alignment vertical="center"/>
    </xf>
    <xf numFmtId="43" fontId="47" fillId="0" borderId="0" xfId="69" applyFont="1" applyAlignment="1">
      <alignment vertical="center"/>
    </xf>
    <xf numFmtId="43" fontId="8" fillId="0" borderId="4" xfId="69" applyNumberFormat="1" applyFont="1" applyBorder="1" applyAlignment="1">
      <alignment vertical="top" wrapText="1"/>
    </xf>
    <xf numFmtId="171" fontId="8" fillId="0" borderId="0" xfId="14" applyNumberFormat="1" applyFont="1">
      <alignment vertical="center"/>
    </xf>
    <xf numFmtId="43" fontId="8" fillId="0" borderId="4" xfId="69" applyFont="1" applyBorder="1" applyAlignment="1">
      <alignment horizontal="left" vertical="top"/>
    </xf>
    <xf numFmtId="43" fontId="8" fillId="0" borderId="0" xfId="69" applyFont="1"/>
    <xf numFmtId="43" fontId="8" fillId="0" borderId="4" xfId="69" applyFont="1" applyBorder="1" applyAlignment="1">
      <alignment horizontal="right" vertical="top"/>
    </xf>
    <xf numFmtId="43" fontId="8" fillId="6" borderId="4" xfId="69" applyFont="1" applyFill="1" applyBorder="1" applyAlignment="1">
      <alignment horizontal="left" vertical="top"/>
    </xf>
    <xf numFmtId="43" fontId="8" fillId="6" borderId="4" xfId="69" applyFont="1" applyFill="1" applyBorder="1" applyAlignment="1">
      <alignment horizontal="left" vertical="top" wrapText="1"/>
    </xf>
    <xf numFmtId="43" fontId="8" fillId="0" borderId="4" xfId="69" applyFont="1" applyFill="1" applyBorder="1" applyAlignment="1">
      <alignment horizontal="left" vertical="top"/>
    </xf>
    <xf numFmtId="43" fontId="8" fillId="0" borderId="4" xfId="69" applyFont="1" applyFill="1" applyBorder="1"/>
    <xf numFmtId="43" fontId="8" fillId="0" borderId="4" xfId="69" applyFont="1" applyBorder="1" applyAlignment="1">
      <alignment vertical="top"/>
    </xf>
    <xf numFmtId="43" fontId="8" fillId="0" borderId="4" xfId="69" applyFont="1" applyBorder="1" applyAlignment="1">
      <alignment horizontal="right" vertical="top" wrapText="1"/>
    </xf>
    <xf numFmtId="43" fontId="8" fillId="6" borderId="4" xfId="69" applyFont="1" applyFill="1" applyBorder="1" applyAlignment="1">
      <alignment vertical="top"/>
    </xf>
    <xf numFmtId="0" fontId="69" fillId="0" borderId="10" xfId="10" applyFont="1" applyBorder="1" applyAlignment="1">
      <alignment horizontal="center" vertical="center"/>
    </xf>
    <xf numFmtId="43" fontId="52" fillId="0" borderId="0" xfId="69" applyFont="1" applyAlignment="1">
      <alignment vertical="center" wrapText="1"/>
    </xf>
    <xf numFmtId="43" fontId="54" fillId="0" borderId="0" xfId="69" applyFont="1" applyBorder="1" applyAlignment="1">
      <alignment horizontal="center" vertical="center"/>
    </xf>
    <xf numFmtId="0" fontId="54" fillId="5" borderId="0" xfId="10" applyFont="1" applyFill="1" applyAlignment="1">
      <alignment horizontal="left" vertical="center" wrapText="1"/>
    </xf>
    <xf numFmtId="43" fontId="54" fillId="5" borderId="0" xfId="69" applyFont="1" applyFill="1" applyBorder="1" applyAlignment="1">
      <alignment horizontal="left" vertical="center"/>
    </xf>
    <xf numFmtId="14" fontId="54" fillId="5" borderId="0" xfId="10" applyNumberFormat="1" applyFont="1" applyFill="1" applyAlignment="1">
      <alignment horizontal="center" vertical="center" wrapText="1"/>
    </xf>
    <xf numFmtId="43" fontId="54" fillId="5" borderId="0" xfId="69" applyFont="1" applyFill="1" applyBorder="1" applyAlignment="1">
      <alignment horizontal="left" vertical="center" wrapText="1"/>
    </xf>
    <xf numFmtId="43" fontId="52" fillId="0" borderId="0" xfId="69" applyFont="1" applyAlignment="1">
      <alignment horizontal="centerContinuous" vertical="center" wrapText="1"/>
    </xf>
    <xf numFmtId="43" fontId="54" fillId="0" borderId="0" xfId="69" applyFont="1" applyFill="1" applyBorder="1" applyAlignment="1">
      <alignment horizontal="center" vertical="center" wrapText="1"/>
    </xf>
    <xf numFmtId="43" fontId="54" fillId="4" borderId="4" xfId="69" applyFont="1" applyFill="1" applyBorder="1" applyAlignment="1">
      <alignment horizontal="center" vertical="center" wrapText="1"/>
    </xf>
    <xf numFmtId="0" fontId="54" fillId="0" borderId="4" xfId="10" applyFont="1" applyBorder="1" applyAlignment="1">
      <alignment vertical="center"/>
    </xf>
    <xf numFmtId="0" fontId="54" fillId="0" borderId="4" xfId="10" applyFont="1" applyBorder="1" applyAlignment="1">
      <alignment horizontal="center" vertical="center" wrapText="1"/>
    </xf>
    <xf numFmtId="14" fontId="54" fillId="0" borderId="4" xfId="10" applyNumberFormat="1" applyFont="1" applyBorder="1" applyAlignment="1">
      <alignment horizontal="center" vertical="center" wrapText="1"/>
    </xf>
    <xf numFmtId="43" fontId="52" fillId="0" borderId="4" xfId="69" applyFont="1" applyFill="1" applyBorder="1" applyAlignment="1">
      <alignment vertical="center" wrapText="1"/>
    </xf>
    <xf numFmtId="0" fontId="68" fillId="0" borderId="4" xfId="10" applyFont="1" applyBorder="1" applyAlignment="1">
      <alignment horizontal="center" vertical="center"/>
    </xf>
    <xf numFmtId="0" fontId="72" fillId="0" borderId="4" xfId="10" applyFont="1" applyBorder="1" applyAlignment="1">
      <alignment vertical="center"/>
    </xf>
    <xf numFmtId="0" fontId="62" fillId="0" borderId="4" xfId="10" applyFont="1" applyBorder="1" applyAlignment="1">
      <alignment horizontal="center" vertical="center" wrapText="1"/>
    </xf>
    <xf numFmtId="14" fontId="62" fillId="0" borderId="4" xfId="10" applyNumberFormat="1" applyFont="1" applyBorder="1" applyAlignment="1">
      <alignment horizontal="center" vertical="center" wrapText="1"/>
    </xf>
    <xf numFmtId="0" fontId="70" fillId="0" borderId="4" xfId="0" applyFont="1" applyBorder="1" applyAlignment="1">
      <alignment horizontal="center" vertical="center" wrapText="1"/>
    </xf>
    <xf numFmtId="0" fontId="70" fillId="0" borderId="4" xfId="0" applyFont="1" applyBorder="1" applyAlignment="1">
      <alignment vertical="center" wrapText="1"/>
    </xf>
    <xf numFmtId="0" fontId="58" fillId="0" borderId="4" xfId="0" applyFont="1" applyBorder="1" applyAlignment="1">
      <alignment horizontal="center" vertical="center" wrapText="1"/>
    </xf>
    <xf numFmtId="14" fontId="58" fillId="0" borderId="4" xfId="0" applyNumberFormat="1" applyFont="1" applyBorder="1" applyAlignment="1">
      <alignment horizontal="center" vertical="center" wrapText="1"/>
    </xf>
    <xf numFmtId="43" fontId="58" fillId="0" borderId="4" xfId="69" applyFont="1" applyBorder="1" applyAlignment="1">
      <alignment horizontal="center" vertical="center" wrapText="1"/>
    </xf>
    <xf numFmtId="43" fontId="58" fillId="19" borderId="4" xfId="69" applyFont="1" applyFill="1" applyBorder="1" applyAlignment="1">
      <alignment horizontal="center" vertical="center"/>
    </xf>
    <xf numFmtId="43" fontId="52" fillId="0" borderId="0" xfId="69" applyFont="1" applyFill="1" applyAlignment="1">
      <alignment vertical="center"/>
    </xf>
    <xf numFmtId="0" fontId="71" fillId="0" borderId="4" xfId="0" applyFont="1" applyBorder="1" applyAlignment="1">
      <alignment horizontal="center" vertical="center" wrapText="1"/>
    </xf>
    <xf numFmtId="0" fontId="71" fillId="0" borderId="4" xfId="0" applyFont="1" applyBorder="1" applyAlignment="1">
      <alignment horizontal="left" vertical="center" wrapText="1" indent="2"/>
    </xf>
    <xf numFmtId="0" fontId="59" fillId="0" borderId="4" xfId="0" applyFont="1" applyBorder="1" applyAlignment="1">
      <alignment horizontal="center" vertical="center" wrapText="1"/>
    </xf>
    <xf numFmtId="43" fontId="52" fillId="0" borderId="4" xfId="69" applyFont="1" applyBorder="1" applyAlignment="1">
      <alignment horizontal="right" vertical="center" wrapText="1"/>
    </xf>
    <xf numFmtId="0" fontId="69" fillId="0" borderId="4" xfId="0" applyFont="1" applyBorder="1" applyAlignment="1">
      <alignment horizontal="center" vertical="center" wrapText="1"/>
    </xf>
    <xf numFmtId="2" fontId="69" fillId="0" borderId="4" xfId="0" applyNumberFormat="1" applyFont="1" applyBorder="1" applyAlignment="1">
      <alignment horizontal="center" vertical="center" wrapText="1"/>
    </xf>
    <xf numFmtId="0" fontId="83" fillId="0" borderId="4" xfId="10" applyFont="1" applyBorder="1" applyAlignment="1">
      <alignment vertical="center"/>
    </xf>
    <xf numFmtId="0" fontId="82" fillId="0" borderId="4" xfId="0" applyFont="1" applyBorder="1" applyAlignment="1">
      <alignment vertical="center" wrapText="1"/>
    </xf>
    <xf numFmtId="0" fontId="69" fillId="0" borderId="0" xfId="10" applyFont="1" applyAlignment="1">
      <alignment horizontal="center" vertical="center"/>
    </xf>
    <xf numFmtId="0" fontId="71" fillId="0" borderId="4" xfId="0" applyFont="1" applyBorder="1" applyAlignment="1">
      <alignment vertical="center" wrapText="1"/>
    </xf>
    <xf numFmtId="0" fontId="76" fillId="0" borderId="4" xfId="0" applyFont="1" applyBorder="1" applyAlignment="1">
      <alignment vertical="center" wrapText="1"/>
    </xf>
    <xf numFmtId="0" fontId="68" fillId="6" borderId="0" xfId="10" applyFont="1" applyFill="1" applyAlignment="1">
      <alignment horizontal="center" vertical="center"/>
    </xf>
    <xf numFmtId="0" fontId="72" fillId="0" borderId="7" xfId="10" applyFont="1" applyBorder="1" applyAlignment="1">
      <alignment vertical="center"/>
    </xf>
    <xf numFmtId="43" fontId="54" fillId="18" borderId="19" xfId="69" applyFont="1" applyFill="1" applyBorder="1" applyAlignment="1">
      <alignment vertical="center" wrapText="1"/>
    </xf>
    <xf numFmtId="43" fontId="54" fillId="18" borderId="19" xfId="69" applyFont="1" applyFill="1" applyBorder="1" applyAlignment="1">
      <alignment vertical="center"/>
    </xf>
    <xf numFmtId="43" fontId="52" fillId="0" borderId="0" xfId="69" applyFont="1" applyAlignment="1">
      <alignment vertical="center"/>
    </xf>
    <xf numFmtId="43" fontId="52" fillId="0" borderId="4" xfId="69" applyFont="1" applyFill="1" applyBorder="1" applyAlignment="1">
      <alignment vertical="center"/>
    </xf>
    <xf numFmtId="43" fontId="52" fillId="0" borderId="4" xfId="69" applyFont="1" applyBorder="1" applyAlignment="1">
      <alignment horizontal="right" vertical="center"/>
    </xf>
    <xf numFmtId="43" fontId="52" fillId="0" borderId="4" xfId="69" applyFont="1" applyBorder="1" applyAlignment="1">
      <alignment vertical="center" wrapText="1"/>
    </xf>
    <xf numFmtId="43" fontId="52" fillId="0" borderId="4" xfId="69" applyFont="1" applyBorder="1" applyAlignment="1">
      <alignment vertical="center"/>
    </xf>
    <xf numFmtId="43" fontId="58" fillId="0" borderId="4" xfId="69" applyFont="1" applyBorder="1" applyAlignment="1">
      <alignment horizontal="center" vertical="center"/>
    </xf>
    <xf numFmtId="178" fontId="69" fillId="0" borderId="0" xfId="10" applyNumberFormat="1" applyFont="1" applyAlignment="1">
      <alignment horizontal="center" vertical="center"/>
    </xf>
    <xf numFmtId="178" fontId="69" fillId="0" borderId="0" xfId="10" applyNumberFormat="1" applyFont="1" applyAlignment="1">
      <alignment horizontal="center" vertical="center" wrapText="1"/>
    </xf>
    <xf numFmtId="43" fontId="69" fillId="0" borderId="0" xfId="69" applyFont="1" applyFill="1" applyBorder="1" applyAlignment="1">
      <alignment horizontal="center" vertical="center" wrapText="1"/>
    </xf>
    <xf numFmtId="43" fontId="69" fillId="0" borderId="0" xfId="69" applyFont="1" applyBorder="1" applyAlignment="1">
      <alignment horizontal="center" vertical="center"/>
    </xf>
    <xf numFmtId="9" fontId="69" fillId="0" borderId="0" xfId="70" applyFont="1" applyBorder="1" applyAlignment="1">
      <alignment horizontal="center" vertical="center"/>
    </xf>
    <xf numFmtId="2" fontId="69" fillId="0" borderId="0" xfId="69" applyNumberFormat="1" applyFont="1" applyBorder="1" applyAlignment="1">
      <alignment horizontal="center" vertical="center"/>
    </xf>
    <xf numFmtId="43" fontId="69" fillId="0" borderId="0" xfId="69" applyFont="1" applyBorder="1" applyAlignment="1">
      <alignment horizontal="center" vertical="center" wrapText="1"/>
    </xf>
    <xf numFmtId="43" fontId="69" fillId="0" borderId="0" xfId="69" applyFont="1" applyBorder="1" applyAlignment="1">
      <alignment vertical="center"/>
    </xf>
    <xf numFmtId="0" fontId="68" fillId="0" borderId="0" xfId="10" applyFont="1" applyAlignment="1">
      <alignment horizontal="center" vertical="center"/>
    </xf>
    <xf numFmtId="0" fontId="68" fillId="5" borderId="0" xfId="10" applyFont="1" applyFill="1" applyAlignment="1">
      <alignment horizontal="center" vertical="center"/>
    </xf>
    <xf numFmtId="43" fontId="69" fillId="0" borderId="10" xfId="69" applyFont="1" applyFill="1" applyBorder="1" applyAlignment="1">
      <alignment horizontal="center" vertical="center" wrapText="1"/>
    </xf>
    <xf numFmtId="43" fontId="69" fillId="0" borderId="10" xfId="69" applyFont="1" applyBorder="1" applyAlignment="1">
      <alignment horizontal="center" vertical="center"/>
    </xf>
    <xf numFmtId="43" fontId="68" fillId="0" borderId="10" xfId="69" applyFont="1" applyFill="1" applyBorder="1" applyAlignment="1">
      <alignment horizontal="center" vertical="center"/>
    </xf>
    <xf numFmtId="9" fontId="69" fillId="0" borderId="10" xfId="70" applyFont="1" applyBorder="1" applyAlignment="1">
      <alignment horizontal="center" vertical="center"/>
    </xf>
    <xf numFmtId="2" fontId="69" fillId="0" borderId="10" xfId="69" applyNumberFormat="1" applyFont="1" applyBorder="1" applyAlignment="1">
      <alignment horizontal="center" vertical="center"/>
    </xf>
    <xf numFmtId="2" fontId="69" fillId="0" borderId="12" xfId="69" applyNumberFormat="1" applyFont="1" applyBorder="1" applyAlignment="1">
      <alignment horizontal="center" vertical="center"/>
    </xf>
    <xf numFmtId="43" fontId="68" fillId="0" borderId="0" xfId="69" applyFont="1" applyFill="1" applyBorder="1" applyAlignment="1">
      <alignment horizontal="center" vertical="center" wrapText="1"/>
    </xf>
    <xf numFmtId="43" fontId="68" fillId="0" borderId="0" xfId="69" applyFont="1" applyFill="1" applyBorder="1" applyAlignment="1">
      <alignment horizontal="center" vertical="center"/>
    </xf>
    <xf numFmtId="43" fontId="69" fillId="0" borderId="0" xfId="69" applyFont="1" applyBorder="1" applyAlignment="1">
      <alignment horizontal="centerContinuous" vertical="center"/>
    </xf>
    <xf numFmtId="43" fontId="68" fillId="6" borderId="0" xfId="69" applyFont="1" applyFill="1" applyBorder="1" applyAlignment="1">
      <alignment horizontal="center" vertical="center"/>
    </xf>
    <xf numFmtId="43" fontId="68" fillId="4" borderId="4" xfId="69" applyFont="1" applyFill="1" applyBorder="1" applyAlignment="1">
      <alignment horizontal="center" vertical="center" wrapText="1"/>
    </xf>
    <xf numFmtId="0" fontId="69" fillId="0" borderId="0" xfId="10" applyFont="1" applyAlignment="1">
      <alignment horizontal="left" vertical="center"/>
    </xf>
    <xf numFmtId="2" fontId="68" fillId="4" borderId="4" xfId="69" applyNumberFormat="1" applyFont="1" applyFill="1" applyBorder="1" applyAlignment="1">
      <alignment horizontal="center" vertical="center" wrapText="1"/>
    </xf>
    <xf numFmtId="43" fontId="68" fillId="18" borderId="4" xfId="69" applyFont="1" applyFill="1" applyBorder="1" applyAlignment="1">
      <alignment horizontal="center" vertical="center" wrapText="1"/>
    </xf>
    <xf numFmtId="9" fontId="68" fillId="18" borderId="4" xfId="70" applyFont="1" applyFill="1" applyBorder="1" applyAlignment="1">
      <alignment horizontal="center" vertical="center" wrapText="1"/>
    </xf>
    <xf numFmtId="2" fontId="68" fillId="18" borderId="4" xfId="69" applyNumberFormat="1" applyFont="1" applyFill="1" applyBorder="1" applyAlignment="1">
      <alignment horizontal="center" vertical="center" wrapText="1"/>
    </xf>
    <xf numFmtId="43" fontId="69" fillId="0" borderId="4" xfId="69" applyFont="1" applyFill="1" applyBorder="1" applyAlignment="1">
      <alignment horizontal="center" vertical="center" wrapText="1"/>
    </xf>
    <xf numFmtId="43" fontId="69" fillId="0" borderId="4" xfId="69" applyFont="1" applyFill="1" applyBorder="1" applyAlignment="1">
      <alignment horizontal="center" vertical="center"/>
    </xf>
    <xf numFmtId="9" fontId="69" fillId="0" borderId="4" xfId="70" applyFont="1" applyFill="1" applyBorder="1" applyAlignment="1">
      <alignment horizontal="center" vertical="center"/>
    </xf>
    <xf numFmtId="2" fontId="69" fillId="0" borderId="4" xfId="69" applyNumberFormat="1" applyFont="1" applyFill="1" applyBorder="1" applyAlignment="1">
      <alignment horizontal="center" vertical="center"/>
    </xf>
    <xf numFmtId="43" fontId="69" fillId="0" borderId="4" xfId="69" applyFont="1" applyFill="1" applyBorder="1" applyAlignment="1">
      <alignment vertical="center"/>
    </xf>
    <xf numFmtId="179" fontId="70" fillId="0" borderId="4" xfId="0" applyNumberFormat="1" applyFont="1" applyBorder="1" applyAlignment="1">
      <alignment horizontal="center" vertical="center"/>
    </xf>
    <xf numFmtId="179" fontId="70" fillId="0" borderId="4" xfId="0" applyNumberFormat="1" applyFont="1" applyBorder="1" applyAlignment="1">
      <alignment horizontal="center" vertical="center" wrapText="1"/>
    </xf>
    <xf numFmtId="43" fontId="70" fillId="19" borderId="4" xfId="69" applyFont="1" applyFill="1" applyBorder="1" applyAlignment="1">
      <alignment horizontal="center" vertical="center" wrapText="1"/>
    </xf>
    <xf numFmtId="43" fontId="81" fillId="22" borderId="4" xfId="69" applyFont="1" applyFill="1" applyBorder="1" applyAlignment="1">
      <alignment horizontal="center" vertical="center" wrapText="1"/>
    </xf>
    <xf numFmtId="9" fontId="69" fillId="19" borderId="4" xfId="70" applyFont="1" applyFill="1" applyBorder="1" applyAlignment="1">
      <alignment horizontal="center" vertical="center"/>
    </xf>
    <xf numFmtId="2" fontId="69" fillId="19" borderId="4" xfId="69" applyNumberFormat="1" applyFont="1" applyFill="1" applyBorder="1" applyAlignment="1">
      <alignment horizontal="center" vertical="center"/>
    </xf>
    <xf numFmtId="0" fontId="66" fillId="0" borderId="4" xfId="0" applyFont="1" applyBorder="1" applyAlignment="1" applyProtection="1">
      <alignment horizontal="center" vertical="center" wrapText="1"/>
      <protection locked="0"/>
    </xf>
    <xf numFmtId="0" fontId="71" fillId="0" borderId="4" xfId="0" applyFont="1" applyBorder="1" applyAlignment="1">
      <alignment horizontal="center" vertical="center"/>
    </xf>
    <xf numFmtId="178" fontId="71" fillId="0" borderId="4" xfId="0" applyNumberFormat="1" applyFont="1" applyBorder="1" applyAlignment="1">
      <alignment horizontal="center" vertical="center" wrapText="1"/>
    </xf>
    <xf numFmtId="178" fontId="80" fillId="0" borderId="4" xfId="10" applyNumberFormat="1" applyFont="1" applyBorder="1" applyAlignment="1">
      <alignment horizontal="center" vertical="center" wrapText="1"/>
    </xf>
    <xf numFmtId="43" fontId="69" fillId="19" borderId="4" xfId="69" applyFont="1" applyFill="1" applyBorder="1" applyAlignment="1">
      <alignment horizontal="center" vertical="center"/>
    </xf>
    <xf numFmtId="43" fontId="80" fillId="22" borderId="4" xfId="69" applyFont="1" applyFill="1" applyBorder="1" applyAlignment="1">
      <alignment horizontal="center" vertical="center"/>
    </xf>
    <xf numFmtId="43" fontId="69" fillId="19" borderId="4" xfId="69" applyFont="1" applyFill="1" applyBorder="1" applyAlignment="1">
      <alignment vertical="center"/>
    </xf>
    <xf numFmtId="43" fontId="80" fillId="22" borderId="4" xfId="69" applyFont="1" applyFill="1" applyBorder="1" applyAlignment="1">
      <alignment vertical="center"/>
    </xf>
    <xf numFmtId="0" fontId="66" fillId="0" borderId="4" xfId="0" applyFont="1" applyBorder="1" applyAlignment="1">
      <alignment horizontal="center" vertical="center" wrapText="1"/>
    </xf>
    <xf numFmtId="0" fontId="80" fillId="22" borderId="4" xfId="10" applyFont="1" applyFill="1" applyBorder="1" applyAlignment="1">
      <alignment horizontal="left" vertical="center" wrapText="1"/>
    </xf>
    <xf numFmtId="0" fontId="69" fillId="14" borderId="7" xfId="10" applyFont="1" applyFill="1" applyBorder="1" applyAlignment="1">
      <alignment horizontal="center" vertical="center"/>
    </xf>
    <xf numFmtId="43" fontId="69" fillId="14" borderId="4" xfId="69" applyFont="1" applyFill="1" applyBorder="1" applyAlignment="1">
      <alignment horizontal="center" vertical="center"/>
    </xf>
    <xf numFmtId="43" fontId="80" fillId="21" borderId="4" xfId="69" applyFont="1" applyFill="1" applyBorder="1" applyAlignment="1">
      <alignment horizontal="center" vertical="center"/>
    </xf>
    <xf numFmtId="9" fontId="69" fillId="14" borderId="4" xfId="70" applyFont="1" applyFill="1" applyBorder="1" applyAlignment="1">
      <alignment horizontal="center" vertical="center"/>
    </xf>
    <xf numFmtId="2" fontId="69" fillId="14" borderId="4" xfId="69" applyNumberFormat="1" applyFont="1" applyFill="1" applyBorder="1" applyAlignment="1">
      <alignment horizontal="center" vertical="center"/>
    </xf>
    <xf numFmtId="43" fontId="69" fillId="14" borderId="4" xfId="69" applyFont="1" applyFill="1" applyBorder="1" applyAlignment="1">
      <alignment vertical="center"/>
    </xf>
    <xf numFmtId="43" fontId="80" fillId="21" borderId="4" xfId="69" applyFont="1" applyFill="1" applyBorder="1" applyAlignment="1">
      <alignment vertical="center"/>
    </xf>
    <xf numFmtId="0" fontId="71" fillId="0" borderId="7" xfId="0" applyFont="1" applyBorder="1" applyAlignment="1">
      <alignment horizontal="center" vertical="center"/>
    </xf>
    <xf numFmtId="0" fontId="71" fillId="0" borderId="10" xfId="0" applyFont="1" applyBorder="1" applyAlignment="1">
      <alignment horizontal="center" vertical="center" wrapText="1"/>
    </xf>
    <xf numFmtId="178" fontId="71" fillId="0" borderId="10" xfId="0" applyNumberFormat="1" applyFont="1" applyBorder="1" applyAlignment="1">
      <alignment horizontal="center" vertical="center" wrapText="1"/>
    </xf>
    <xf numFmtId="178" fontId="69" fillId="0" borderId="10" xfId="10" applyNumberFormat="1" applyFont="1" applyBorder="1" applyAlignment="1">
      <alignment horizontal="center" vertical="center" wrapText="1"/>
    </xf>
    <xf numFmtId="0" fontId="71" fillId="0" borderId="6" xfId="0" applyFont="1" applyBorder="1" applyAlignment="1">
      <alignment horizontal="center" vertical="center" wrapText="1"/>
    </xf>
    <xf numFmtId="178" fontId="71" fillId="0" borderId="6" xfId="0" applyNumberFormat="1" applyFont="1" applyBorder="1" applyAlignment="1">
      <alignment horizontal="center" vertical="center" wrapText="1"/>
    </xf>
    <xf numFmtId="178" fontId="69" fillId="0" borderId="6" xfId="10" applyNumberFormat="1" applyFont="1" applyBorder="1" applyAlignment="1">
      <alignment horizontal="center" vertical="center" wrapText="1"/>
    </xf>
    <xf numFmtId="0" fontId="71" fillId="0" borderId="10" xfId="0" applyFont="1" applyBorder="1" applyAlignment="1">
      <alignment horizontal="center" vertical="center"/>
    </xf>
    <xf numFmtId="0" fontId="71" fillId="0" borderId="6" xfId="0" applyFont="1" applyBorder="1" applyAlignment="1">
      <alignment horizontal="center" vertical="center"/>
    </xf>
    <xf numFmtId="43" fontId="71" fillId="0" borderId="4" xfId="69" applyFont="1" applyFill="1" applyBorder="1" applyAlignment="1">
      <alignment horizontal="center" vertical="center" wrapText="1"/>
    </xf>
    <xf numFmtId="0" fontId="80" fillId="0" borderId="4" xfId="10" applyFont="1" applyBorder="1" applyAlignment="1">
      <alignment horizontal="center" vertical="center"/>
    </xf>
    <xf numFmtId="0" fontId="80" fillId="20" borderId="4" xfId="10" applyFont="1" applyFill="1" applyBorder="1" applyAlignment="1">
      <alignment horizontal="left" vertical="center" wrapText="1"/>
    </xf>
    <xf numFmtId="4" fontId="66" fillId="21" borderId="4" xfId="0" applyNumberFormat="1" applyFont="1" applyFill="1" applyBorder="1" applyAlignment="1">
      <alignment horizontal="right"/>
    </xf>
    <xf numFmtId="0" fontId="71" fillId="0" borderId="4" xfId="0" applyFont="1" applyBorder="1" applyAlignment="1" applyProtection="1">
      <alignment horizontal="center" vertical="center" wrapText="1"/>
      <protection locked="0"/>
    </xf>
    <xf numFmtId="43" fontId="68" fillId="6" borderId="7" xfId="69" applyFont="1" applyFill="1" applyBorder="1" applyAlignment="1">
      <alignment horizontal="center" vertical="center" wrapText="1"/>
    </xf>
    <xf numFmtId="43" fontId="68" fillId="6" borderId="7" xfId="69" applyFont="1" applyFill="1" applyBorder="1" applyAlignment="1">
      <alignment horizontal="center" vertical="center"/>
    </xf>
    <xf numFmtId="43" fontId="68" fillId="6" borderId="7" xfId="69" applyFont="1" applyFill="1" applyBorder="1" applyAlignment="1">
      <alignment vertical="center"/>
    </xf>
    <xf numFmtId="2" fontId="68" fillId="6" borderId="7" xfId="69" applyNumberFormat="1" applyFont="1" applyFill="1" applyBorder="1" applyAlignment="1">
      <alignment horizontal="center" vertical="center"/>
    </xf>
    <xf numFmtId="0" fontId="69" fillId="6" borderId="0" xfId="10" applyFont="1" applyFill="1" applyAlignment="1">
      <alignment vertical="center"/>
    </xf>
    <xf numFmtId="43" fontId="68" fillId="6" borderId="4" xfId="69" applyFont="1" applyFill="1" applyBorder="1" applyAlignment="1">
      <alignment vertical="center"/>
    </xf>
    <xf numFmtId="43" fontId="68" fillId="6" borderId="4" xfId="69" applyFont="1" applyFill="1" applyBorder="1" applyAlignment="1">
      <alignment horizontal="center" vertical="center" wrapText="1"/>
    </xf>
    <xf numFmtId="43" fontId="68" fillId="6" borderId="4" xfId="69" applyFont="1" applyFill="1" applyBorder="1" applyAlignment="1">
      <alignment horizontal="center" vertical="center"/>
    </xf>
    <xf numFmtId="2" fontId="68" fillId="6" borderId="4" xfId="69" applyNumberFormat="1" applyFont="1" applyFill="1" applyBorder="1" applyAlignment="1">
      <alignment horizontal="center" vertical="center"/>
    </xf>
    <xf numFmtId="43" fontId="69" fillId="0" borderId="4" xfId="69" applyFont="1" applyBorder="1" applyAlignment="1">
      <alignment horizontal="center" vertical="center"/>
    </xf>
    <xf numFmtId="43" fontId="69" fillId="0" borderId="4" xfId="69" applyFont="1" applyBorder="1" applyAlignment="1">
      <alignment vertical="center"/>
    </xf>
    <xf numFmtId="2" fontId="69" fillId="0" borderId="4" xfId="69" applyNumberFormat="1" applyFont="1" applyBorder="1" applyAlignment="1">
      <alignment horizontal="center" vertical="center"/>
    </xf>
    <xf numFmtId="43" fontId="69" fillId="0" borderId="4" xfId="69" applyFont="1" applyBorder="1" applyAlignment="1">
      <alignment horizontal="center" vertical="center" wrapText="1"/>
    </xf>
    <xf numFmtId="182" fontId="68" fillId="0" borderId="4" xfId="69" applyNumberFormat="1" applyFont="1" applyBorder="1" applyAlignment="1">
      <alignment vertical="center"/>
    </xf>
    <xf numFmtId="43" fontId="74" fillId="0" borderId="4" xfId="0" applyNumberFormat="1" applyFont="1" applyBorder="1"/>
    <xf numFmtId="188" fontId="69" fillId="0" borderId="4" xfId="69" applyNumberFormat="1" applyFont="1" applyBorder="1" applyAlignment="1">
      <alignment vertical="center"/>
    </xf>
    <xf numFmtId="182" fontId="69" fillId="0" borderId="4" xfId="69" applyNumberFormat="1" applyFont="1" applyBorder="1" applyAlignment="1">
      <alignment vertical="center"/>
    </xf>
    <xf numFmtId="178" fontId="68" fillId="6" borderId="0" xfId="10" applyNumberFormat="1" applyFont="1" applyFill="1" applyAlignment="1">
      <alignment horizontal="center" vertical="center"/>
    </xf>
    <xf numFmtId="178" fontId="68" fillId="6" borderId="0" xfId="10" applyNumberFormat="1" applyFont="1" applyFill="1" applyAlignment="1">
      <alignment horizontal="center" vertical="center" wrapText="1"/>
    </xf>
    <xf numFmtId="0" fontId="68" fillId="6" borderId="0" xfId="10" applyFont="1" applyFill="1" applyAlignment="1">
      <alignment vertical="center"/>
    </xf>
    <xf numFmtId="0" fontId="68" fillId="6" borderId="0" xfId="10" applyFont="1" applyFill="1" applyAlignment="1">
      <alignment vertical="center" wrapText="1"/>
    </xf>
    <xf numFmtId="43" fontId="68" fillId="6" borderId="0" xfId="69" applyFont="1" applyFill="1" applyBorder="1" applyAlignment="1">
      <alignment horizontal="center" vertical="center" wrapText="1"/>
    </xf>
    <xf numFmtId="43" fontId="68" fillId="6" borderId="0" xfId="69" applyFont="1" applyFill="1" applyBorder="1" applyAlignment="1">
      <alignment vertical="center"/>
    </xf>
    <xf numFmtId="2" fontId="68" fillId="6" borderId="0" xfId="69" applyNumberFormat="1" applyFont="1" applyFill="1" applyBorder="1" applyAlignment="1">
      <alignment horizontal="center" vertical="center"/>
    </xf>
    <xf numFmtId="9" fontId="69" fillId="0" borderId="4" xfId="70" applyFont="1" applyBorder="1" applyAlignment="1">
      <alignment horizontal="center" vertical="center"/>
    </xf>
    <xf numFmtId="43" fontId="68" fillId="18" borderId="4" xfId="69" applyFont="1" applyFill="1" applyBorder="1" applyAlignment="1">
      <alignment horizontal="center" vertical="center"/>
    </xf>
    <xf numFmtId="9" fontId="68" fillId="18" borderId="4" xfId="70" applyFont="1" applyFill="1" applyBorder="1" applyAlignment="1">
      <alignment horizontal="center" vertical="center"/>
    </xf>
    <xf numFmtId="2" fontId="68" fillId="18" borderId="4" xfId="69" applyNumberFormat="1" applyFont="1" applyFill="1" applyBorder="1" applyAlignment="1">
      <alignment horizontal="center" vertical="center"/>
    </xf>
    <xf numFmtId="43" fontId="68" fillId="18" borderId="4" xfId="69" applyFont="1" applyFill="1" applyBorder="1" applyAlignment="1">
      <alignment vertical="center"/>
    </xf>
    <xf numFmtId="182" fontId="68" fillId="0" borderId="0" xfId="69" applyNumberFormat="1" applyFont="1" applyBorder="1" applyAlignment="1">
      <alignment vertical="center"/>
    </xf>
    <xf numFmtId="43" fontId="74" fillId="0" borderId="0" xfId="0" applyNumberFormat="1" applyFont="1"/>
    <xf numFmtId="188" fontId="69" fillId="0" borderId="0" xfId="69" applyNumberFormat="1" applyFont="1" applyBorder="1" applyAlignment="1">
      <alignment vertical="center"/>
    </xf>
    <xf numFmtId="182" fontId="69" fillId="0" borderId="0" xfId="69" applyNumberFormat="1" applyFont="1" applyBorder="1" applyAlignment="1">
      <alignment vertical="center"/>
    </xf>
    <xf numFmtId="175" fontId="52" fillId="0" borderId="0" xfId="69" applyNumberFormat="1" applyFont="1" applyBorder="1" applyAlignment="1">
      <alignment horizontal="center" vertical="center"/>
    </xf>
    <xf numFmtId="43" fontId="52" fillId="0" borderId="0" xfId="69" applyFont="1" applyBorder="1"/>
    <xf numFmtId="178" fontId="52" fillId="0" borderId="0" xfId="69" applyNumberFormat="1" applyFont="1" applyBorder="1"/>
    <xf numFmtId="0" fontId="52" fillId="0" borderId="0" xfId="10" applyFont="1"/>
    <xf numFmtId="178" fontId="52" fillId="0" borderId="0" xfId="10" applyNumberFormat="1" applyFont="1"/>
    <xf numFmtId="0" fontId="54" fillId="0" borderId="0" xfId="10" applyFont="1" applyAlignment="1">
      <alignment horizontal="center" vertical="center"/>
    </xf>
    <xf numFmtId="43" fontId="54" fillId="5" borderId="0" xfId="69" applyFont="1" applyFill="1" applyBorder="1" applyAlignment="1">
      <alignment horizontal="left"/>
    </xf>
    <xf numFmtId="0" fontId="54" fillId="5" borderId="0" xfId="10" applyFont="1" applyFill="1" applyAlignment="1">
      <alignment horizontal="center" vertical="center"/>
    </xf>
    <xf numFmtId="0" fontId="52" fillId="0" borderId="0" xfId="10" applyFont="1" applyAlignment="1">
      <alignment horizontal="centerContinuous"/>
    </xf>
    <xf numFmtId="178" fontId="52" fillId="0" borderId="0" xfId="10" applyNumberFormat="1" applyFont="1" applyAlignment="1">
      <alignment horizontal="center"/>
    </xf>
    <xf numFmtId="43" fontId="54" fillId="0" borderId="0" xfId="69" applyFont="1" applyFill="1" applyBorder="1" applyAlignment="1">
      <alignment horizontal="center"/>
    </xf>
    <xf numFmtId="43" fontId="54" fillId="7" borderId="4" xfId="69" applyFont="1" applyFill="1" applyBorder="1" applyAlignment="1">
      <alignment horizontal="center" vertical="center" wrapText="1"/>
    </xf>
    <xf numFmtId="175" fontId="54" fillId="18" borderId="4" xfId="69" applyNumberFormat="1" applyFont="1" applyFill="1" applyBorder="1" applyAlignment="1">
      <alignment horizontal="center" vertical="center" wrapText="1"/>
    </xf>
    <xf numFmtId="43" fontId="54" fillId="18" borderId="4" xfId="69" applyFont="1" applyFill="1" applyBorder="1" applyAlignment="1">
      <alignment horizontal="center" vertical="center" wrapText="1"/>
    </xf>
    <xf numFmtId="178" fontId="54" fillId="18" borderId="4" xfId="69" applyNumberFormat="1" applyFont="1" applyFill="1" applyBorder="1" applyAlignment="1">
      <alignment horizontal="center" vertical="center" wrapText="1"/>
    </xf>
    <xf numFmtId="175" fontId="54" fillId="0" borderId="4" xfId="69" applyNumberFormat="1" applyFont="1" applyFill="1" applyBorder="1" applyAlignment="1">
      <alignment horizontal="center" vertical="center"/>
    </xf>
    <xf numFmtId="0" fontId="52" fillId="0" borderId="4" xfId="10" applyFont="1" applyBorder="1"/>
    <xf numFmtId="0" fontId="52" fillId="0" borderId="4" xfId="10" applyFont="1" applyBorder="1" applyAlignment="1">
      <alignment wrapText="1"/>
    </xf>
    <xf numFmtId="178" fontId="52" fillId="0" borderId="4" xfId="10" applyNumberFormat="1" applyFont="1" applyBorder="1"/>
    <xf numFmtId="43" fontId="56" fillId="0" borderId="4" xfId="69" applyFont="1" applyFill="1" applyBorder="1" applyAlignment="1">
      <alignment wrapText="1"/>
    </xf>
    <xf numFmtId="0" fontId="57" fillId="0" borderId="4" xfId="10" applyFont="1" applyBorder="1" applyAlignment="1">
      <alignment vertical="center"/>
    </xf>
    <xf numFmtId="0" fontId="58" fillId="0" borderId="4" xfId="0" applyFont="1" applyBorder="1" applyAlignment="1">
      <alignment vertical="center" wrapText="1"/>
    </xf>
    <xf numFmtId="178" fontId="58" fillId="0" borderId="4" xfId="0" applyNumberFormat="1" applyFont="1" applyBorder="1" applyAlignment="1">
      <alignment horizontal="center" vertical="center" wrapText="1"/>
    </xf>
    <xf numFmtId="178" fontId="58" fillId="19" borderId="4" xfId="0" applyNumberFormat="1" applyFont="1" applyFill="1" applyBorder="1" applyAlignment="1">
      <alignment horizontal="center" vertical="center" wrapText="1"/>
    </xf>
    <xf numFmtId="43" fontId="58" fillId="19" borderId="4" xfId="69" applyFont="1" applyFill="1" applyBorder="1" applyAlignment="1">
      <alignment horizontal="center" vertical="center" wrapText="1"/>
    </xf>
    <xf numFmtId="0" fontId="52" fillId="0" borderId="4" xfId="0" applyFont="1" applyBorder="1" applyAlignment="1">
      <alignment horizontal="left" vertical="center" wrapText="1" indent="2"/>
    </xf>
    <xf numFmtId="0" fontId="59" fillId="0" borderId="4" xfId="0" applyFont="1" applyBorder="1" applyAlignment="1">
      <alignment horizontal="center" vertical="center"/>
    </xf>
    <xf numFmtId="178" fontId="59" fillId="0" borderId="4" xfId="0" applyNumberFormat="1" applyFont="1" applyBorder="1" applyAlignment="1">
      <alignment horizontal="center" vertical="center" wrapText="1"/>
    </xf>
    <xf numFmtId="178" fontId="59" fillId="14" borderId="4" xfId="0" applyNumberFormat="1" applyFont="1" applyFill="1" applyBorder="1" applyAlignment="1">
      <alignment horizontal="center" vertical="center" wrapText="1"/>
    </xf>
    <xf numFmtId="43" fontId="52" fillId="0" borderId="0" xfId="69" applyFont="1" applyBorder="1" applyAlignment="1">
      <alignment wrapText="1"/>
    </xf>
    <xf numFmtId="43" fontId="69" fillId="0" borderId="0" xfId="69" applyFont="1" applyAlignment="1">
      <alignment vertical="center" wrapText="1"/>
    </xf>
    <xf numFmtId="43" fontId="68" fillId="0" borderId="0" xfId="69" applyFont="1" applyBorder="1" applyAlignment="1">
      <alignment horizontal="center" vertical="center"/>
    </xf>
    <xf numFmtId="0" fontId="68" fillId="5" borderId="0" xfId="10" applyFont="1" applyFill="1" applyAlignment="1">
      <alignment horizontal="left" vertical="center" wrapText="1"/>
    </xf>
    <xf numFmtId="43" fontId="68" fillId="5" borderId="0" xfId="69" applyFont="1" applyFill="1" applyBorder="1" applyAlignment="1">
      <alignment horizontal="left" vertical="center"/>
    </xf>
    <xf numFmtId="14" fontId="68" fillId="5" borderId="0" xfId="10" applyNumberFormat="1" applyFont="1" applyFill="1" applyAlignment="1">
      <alignment horizontal="center" vertical="center" wrapText="1"/>
    </xf>
    <xf numFmtId="43" fontId="68" fillId="5" borderId="0" xfId="69" applyFont="1" applyFill="1" applyBorder="1" applyAlignment="1">
      <alignment horizontal="left" vertical="center" wrapText="1"/>
    </xf>
    <xf numFmtId="43" fontId="69" fillId="0" borderId="0" xfId="69" applyFont="1" applyAlignment="1">
      <alignment horizontal="centerContinuous" vertical="center" wrapText="1"/>
    </xf>
    <xf numFmtId="0" fontId="68" fillId="0" borderId="4" xfId="10" applyFont="1" applyBorder="1" applyAlignment="1">
      <alignment vertical="center"/>
    </xf>
    <xf numFmtId="0" fontId="68" fillId="0" borderId="4" xfId="10" applyFont="1" applyBorder="1" applyAlignment="1">
      <alignment horizontal="center" vertical="center" wrapText="1"/>
    </xf>
    <xf numFmtId="14" fontId="68" fillId="0" borderId="4" xfId="10" applyNumberFormat="1" applyFont="1" applyBorder="1" applyAlignment="1">
      <alignment horizontal="center" vertical="center" wrapText="1"/>
    </xf>
    <xf numFmtId="43" fontId="69" fillId="0" borderId="4" xfId="69" applyFont="1" applyFill="1" applyBorder="1" applyAlignment="1">
      <alignment vertical="center" wrapText="1"/>
    </xf>
    <xf numFmtId="0" fontId="73" fillId="0" borderId="4" xfId="10" applyFont="1" applyBorder="1" applyAlignment="1">
      <alignment horizontal="center" vertical="center" wrapText="1"/>
    </xf>
    <xf numFmtId="14" fontId="73" fillId="0" borderId="4" xfId="10" applyNumberFormat="1" applyFont="1" applyBorder="1" applyAlignment="1">
      <alignment horizontal="center" vertical="center" wrapText="1"/>
    </xf>
    <xf numFmtId="14" fontId="70" fillId="0" borderId="4" xfId="0" applyNumberFormat="1" applyFont="1" applyBorder="1" applyAlignment="1">
      <alignment horizontal="center" vertical="center" wrapText="1"/>
    </xf>
    <xf numFmtId="43" fontId="70" fillId="0" borderId="4" xfId="69" applyFont="1" applyBorder="1" applyAlignment="1">
      <alignment horizontal="center" vertical="center" wrapText="1"/>
    </xf>
    <xf numFmtId="43" fontId="70" fillId="19" borderId="4" xfId="69" applyFont="1" applyFill="1" applyBorder="1" applyAlignment="1">
      <alignment horizontal="center" vertical="center"/>
    </xf>
    <xf numFmtId="0" fontId="69" fillId="0" borderId="4" xfId="0" applyFont="1" applyBorder="1" applyAlignment="1">
      <alignment horizontal="left" vertical="center" wrapText="1" indent="2"/>
    </xf>
    <xf numFmtId="43" fontId="69" fillId="0" borderId="4" xfId="69" applyFont="1" applyBorder="1" applyAlignment="1">
      <alignment horizontal="right" vertical="center" wrapText="1"/>
    </xf>
    <xf numFmtId="43" fontId="69" fillId="0" borderId="4" xfId="69" applyFont="1" applyBorder="1" applyAlignment="1">
      <alignment vertical="center" wrapText="1"/>
    </xf>
    <xf numFmtId="43" fontId="68" fillId="18" borderId="19" xfId="69" applyFont="1" applyFill="1" applyBorder="1" applyAlignment="1">
      <alignment vertical="center" wrapText="1"/>
    </xf>
    <xf numFmtId="43" fontId="68" fillId="18" borderId="19" xfId="69" applyFont="1" applyFill="1" applyBorder="1" applyAlignment="1">
      <alignment vertical="center"/>
    </xf>
    <xf numFmtId="43" fontId="69" fillId="0" borderId="0" xfId="69" applyFont="1" applyAlignment="1">
      <alignment vertical="center"/>
    </xf>
    <xf numFmtId="43" fontId="69" fillId="0" borderId="4" xfId="69" applyFont="1" applyBorder="1" applyAlignment="1">
      <alignment horizontal="right" vertical="center"/>
    </xf>
    <xf numFmtId="43" fontId="70" fillId="0" borderId="4" xfId="69" applyFont="1" applyBorder="1" applyAlignment="1">
      <alignment horizontal="center" vertical="center"/>
    </xf>
    <xf numFmtId="0" fontId="52" fillId="0" borderId="0" xfId="10" applyFont="1" applyAlignment="1">
      <alignment horizontal="center" vertical="center"/>
    </xf>
    <xf numFmtId="178" fontId="52" fillId="0" borderId="0" xfId="10" applyNumberFormat="1" applyFont="1" applyAlignment="1">
      <alignment horizontal="center" vertical="center"/>
    </xf>
    <xf numFmtId="178" fontId="52" fillId="0" borderId="0" xfId="10" applyNumberFormat="1" applyFont="1" applyAlignment="1">
      <alignment horizontal="center" vertical="center" wrapText="1"/>
    </xf>
    <xf numFmtId="43" fontId="52" fillId="0" borderId="0" xfId="69" applyFont="1" applyFill="1" applyBorder="1" applyAlignment="1">
      <alignment horizontal="center" vertical="center" wrapText="1"/>
    </xf>
    <xf numFmtId="43" fontId="52" fillId="0" borderId="0" xfId="69" applyFont="1" applyBorder="1" applyAlignment="1">
      <alignment horizontal="center" vertical="center"/>
    </xf>
    <xf numFmtId="9" fontId="52" fillId="0" borderId="0" xfId="70" applyFont="1" applyBorder="1" applyAlignment="1">
      <alignment horizontal="center" vertical="center"/>
    </xf>
    <xf numFmtId="2" fontId="52" fillId="0" borderId="0" xfId="69" applyNumberFormat="1" applyFont="1" applyBorder="1" applyAlignment="1">
      <alignment horizontal="center" vertical="center"/>
    </xf>
    <xf numFmtId="43" fontId="52" fillId="0" borderId="0" xfId="69" applyFont="1" applyBorder="1" applyAlignment="1">
      <alignment horizontal="center" vertical="center" wrapText="1"/>
    </xf>
    <xf numFmtId="43" fontId="52" fillId="0" borderId="0" xfId="69" applyFont="1" applyBorder="1" applyAlignment="1">
      <alignment vertical="center"/>
    </xf>
    <xf numFmtId="43" fontId="52" fillId="0" borderId="10" xfId="69" applyFont="1" applyFill="1" applyBorder="1" applyAlignment="1">
      <alignment horizontal="center" vertical="center" wrapText="1"/>
    </xf>
    <xf numFmtId="43" fontId="52" fillId="0" borderId="10" xfId="69" applyFont="1" applyBorder="1" applyAlignment="1">
      <alignment horizontal="center" vertical="center"/>
    </xf>
    <xf numFmtId="43" fontId="54" fillId="0" borderId="10" xfId="69" applyFont="1" applyFill="1" applyBorder="1" applyAlignment="1">
      <alignment horizontal="center" vertical="center"/>
    </xf>
    <xf numFmtId="9" fontId="52" fillId="0" borderId="10" xfId="70" applyFont="1" applyBorder="1" applyAlignment="1">
      <alignment horizontal="center" vertical="center"/>
    </xf>
    <xf numFmtId="2" fontId="52" fillId="0" borderId="10" xfId="69" applyNumberFormat="1" applyFont="1" applyBorder="1" applyAlignment="1">
      <alignment horizontal="center" vertical="center"/>
    </xf>
    <xf numFmtId="2" fontId="52" fillId="0" borderId="12" xfId="69" applyNumberFormat="1" applyFont="1" applyBorder="1" applyAlignment="1">
      <alignment horizontal="center" vertical="center"/>
    </xf>
    <xf numFmtId="43" fontId="54" fillId="0" borderId="0" xfId="69" applyFont="1" applyFill="1" applyBorder="1" applyAlignment="1">
      <alignment horizontal="center" vertical="center"/>
    </xf>
    <xf numFmtId="43" fontId="52" fillId="0" borderId="0" xfId="69" applyFont="1" applyBorder="1" applyAlignment="1">
      <alignment horizontal="centerContinuous" vertical="center"/>
    </xf>
    <xf numFmtId="43" fontId="54" fillId="6" borderId="0" xfId="69" applyFont="1" applyFill="1" applyBorder="1" applyAlignment="1">
      <alignment horizontal="center" vertical="center"/>
    </xf>
    <xf numFmtId="0" fontId="52" fillId="0" borderId="0" xfId="10" applyFont="1" applyAlignment="1">
      <alignment horizontal="left" vertical="center"/>
    </xf>
    <xf numFmtId="43" fontId="9" fillId="4" borderId="4" xfId="69"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9" fontId="54" fillId="18" borderId="4" xfId="70" applyFont="1" applyFill="1" applyBorder="1" applyAlignment="1">
      <alignment horizontal="center" vertical="center" wrapText="1"/>
    </xf>
    <xf numFmtId="2" fontId="54" fillId="18" borderId="4" xfId="69" applyNumberFormat="1" applyFont="1" applyFill="1" applyBorder="1" applyAlignment="1">
      <alignment horizontal="center" vertical="center" wrapText="1"/>
    </xf>
    <xf numFmtId="0" fontId="54" fillId="0" borderId="4" xfId="10" applyFont="1" applyBorder="1" applyAlignment="1">
      <alignment horizontal="center" vertical="center"/>
    </xf>
    <xf numFmtId="43" fontId="52" fillId="0" borderId="4" xfId="69" applyFont="1" applyFill="1" applyBorder="1" applyAlignment="1">
      <alignment horizontal="center" vertical="center" wrapText="1"/>
    </xf>
    <xf numFmtId="43" fontId="52" fillId="0" borderId="4" xfId="69" applyFont="1" applyFill="1" applyBorder="1" applyAlignment="1">
      <alignment horizontal="center" vertical="center"/>
    </xf>
    <xf numFmtId="9" fontId="52" fillId="0" borderId="4" xfId="70" applyFont="1" applyFill="1" applyBorder="1" applyAlignment="1">
      <alignment horizontal="center" vertical="center"/>
    </xf>
    <xf numFmtId="2" fontId="52" fillId="0" borderId="4" xfId="69" applyNumberFormat="1" applyFont="1" applyFill="1" applyBorder="1" applyAlignment="1">
      <alignment horizontal="center" vertical="center"/>
    </xf>
    <xf numFmtId="179" fontId="58" fillId="0" borderId="4" xfId="0" applyNumberFormat="1" applyFont="1" applyBorder="1" applyAlignment="1">
      <alignment horizontal="center" vertical="center"/>
    </xf>
    <xf numFmtId="179" fontId="58" fillId="0" borderId="4" xfId="0" applyNumberFormat="1" applyFont="1" applyBorder="1" applyAlignment="1">
      <alignment horizontal="center" vertical="center" wrapText="1"/>
    </xf>
    <xf numFmtId="43" fontId="67" fillId="22" borderId="4" xfId="69" applyFont="1" applyFill="1" applyBorder="1" applyAlignment="1">
      <alignment horizontal="center" vertical="center" wrapText="1"/>
    </xf>
    <xf numFmtId="9" fontId="52" fillId="19" borderId="4" xfId="70" applyFont="1" applyFill="1" applyBorder="1" applyAlignment="1">
      <alignment horizontal="center" vertical="center"/>
    </xf>
    <xf numFmtId="2" fontId="52" fillId="19" borderId="4" xfId="69" applyNumberFormat="1" applyFont="1" applyFill="1" applyBorder="1" applyAlignment="1">
      <alignment horizontal="center" vertical="center"/>
    </xf>
    <xf numFmtId="0" fontId="65" fillId="0" borderId="4" xfId="0" applyFont="1" applyBorder="1" applyAlignment="1" applyProtection="1">
      <alignment horizontal="center" vertical="center" wrapText="1"/>
      <protection locked="0"/>
    </xf>
    <xf numFmtId="0" fontId="59" fillId="0" borderId="4" xfId="0" applyFont="1" applyBorder="1" applyAlignment="1">
      <alignment horizontal="left" vertical="center" wrapText="1" indent="2"/>
    </xf>
    <xf numFmtId="190" fontId="64" fillId="14" borderId="4" xfId="75" applyNumberFormat="1" applyFont="1" applyFill="1" applyBorder="1" applyAlignment="1" applyProtection="1">
      <alignment horizontal="center" vertical="center" wrapText="1"/>
      <protection locked="0"/>
    </xf>
    <xf numFmtId="0" fontId="59" fillId="14" borderId="4" xfId="0" applyFont="1" applyFill="1" applyBorder="1" applyAlignment="1">
      <alignment vertical="center" wrapText="1"/>
    </xf>
    <xf numFmtId="43" fontId="52" fillId="19" borderId="4" xfId="69" applyFont="1" applyFill="1" applyBorder="1" applyAlignment="1">
      <alignment horizontal="center" vertical="center"/>
    </xf>
    <xf numFmtId="43" fontId="60" fillId="22" borderId="4" xfId="69" applyFont="1" applyFill="1" applyBorder="1" applyAlignment="1">
      <alignment horizontal="center" vertical="center"/>
    </xf>
    <xf numFmtId="43" fontId="52" fillId="19" borderId="4" xfId="69" applyFont="1" applyFill="1" applyBorder="1" applyAlignment="1">
      <alignment vertical="center"/>
    </xf>
    <xf numFmtId="43" fontId="60" fillId="22" borderId="4" xfId="69" applyFont="1" applyFill="1" applyBorder="1" applyAlignment="1">
      <alignment vertical="center"/>
    </xf>
    <xf numFmtId="0" fontId="65" fillId="0" borderId="4" xfId="0" applyFont="1" applyBorder="1" applyAlignment="1">
      <alignment horizontal="center" vertical="center" wrapText="1"/>
    </xf>
    <xf numFmtId="190" fontId="64" fillId="5" borderId="4" xfId="75" applyNumberFormat="1" applyFont="1" applyFill="1" applyBorder="1" applyAlignment="1" applyProtection="1">
      <alignment horizontal="center" vertical="center" wrapText="1"/>
      <protection locked="0"/>
    </xf>
    <xf numFmtId="43" fontId="52" fillId="14" borderId="4" xfId="69" applyFont="1" applyFill="1" applyBorder="1" applyAlignment="1">
      <alignment horizontal="center" vertical="center"/>
    </xf>
    <xf numFmtId="43" fontId="60" fillId="21" borderId="4" xfId="69" applyFont="1" applyFill="1" applyBorder="1" applyAlignment="1">
      <alignment horizontal="center" vertical="center"/>
    </xf>
    <xf numFmtId="9" fontId="52" fillId="14" borderId="4" xfId="70" applyFont="1" applyFill="1" applyBorder="1" applyAlignment="1">
      <alignment horizontal="center" vertical="center"/>
    </xf>
    <xf numFmtId="2" fontId="52" fillId="14" borderId="4" xfId="69" applyNumberFormat="1" applyFont="1" applyFill="1" applyBorder="1" applyAlignment="1">
      <alignment horizontal="center" vertical="center"/>
    </xf>
    <xf numFmtId="43" fontId="52" fillId="14" borderId="4" xfId="69" applyFont="1" applyFill="1" applyBorder="1" applyAlignment="1">
      <alignment vertical="center"/>
    </xf>
    <xf numFmtId="43" fontId="60" fillId="21" borderId="4" xfId="69" applyFont="1" applyFill="1" applyBorder="1" applyAlignment="1">
      <alignment vertical="center"/>
    </xf>
    <xf numFmtId="188" fontId="60" fillId="21" borderId="4" xfId="69" applyNumberFormat="1" applyFont="1" applyFill="1" applyBorder="1" applyAlignment="1">
      <alignment vertical="center"/>
    </xf>
    <xf numFmtId="188" fontId="67" fillId="22" borderId="4" xfId="69" applyNumberFormat="1" applyFont="1" applyFill="1" applyBorder="1" applyAlignment="1">
      <alignment horizontal="center" vertical="center" wrapText="1"/>
    </xf>
    <xf numFmtId="0" fontId="52" fillId="0" borderId="4" xfId="0" applyFont="1" applyBorder="1" applyAlignment="1">
      <alignment horizontal="center" vertical="center" wrapText="1"/>
    </xf>
    <xf numFmtId="43" fontId="52" fillId="0" borderId="4" xfId="69" applyFont="1" applyBorder="1" applyAlignment="1">
      <alignment horizontal="center" vertical="center"/>
    </xf>
    <xf numFmtId="43" fontId="60" fillId="0" borderId="4" xfId="69" applyFont="1" applyFill="1" applyBorder="1" applyAlignment="1">
      <alignment horizontal="center" vertical="center"/>
    </xf>
    <xf numFmtId="9" fontId="52" fillId="0" borderId="4" xfId="70" applyFont="1" applyBorder="1" applyAlignment="1">
      <alignment horizontal="center" vertical="center"/>
    </xf>
    <xf numFmtId="2" fontId="52" fillId="0" borderId="4" xfId="69" applyNumberFormat="1" applyFont="1" applyBorder="1" applyAlignment="1">
      <alignment horizontal="center" vertical="center"/>
    </xf>
    <xf numFmtId="43" fontId="52" fillId="0" borderId="4" xfId="69" applyFont="1" applyBorder="1" applyAlignment="1">
      <alignment horizontal="center" vertical="center" wrapText="1"/>
    </xf>
    <xf numFmtId="43" fontId="60" fillId="0" borderId="4" xfId="69" applyFont="1" applyFill="1" applyBorder="1" applyAlignment="1">
      <alignment vertical="center"/>
    </xf>
    <xf numFmtId="0" fontId="60" fillId="0" borderId="4" xfId="10" applyFont="1" applyBorder="1" applyAlignment="1">
      <alignment vertical="center"/>
    </xf>
    <xf numFmtId="0" fontId="60" fillId="0" borderId="4" xfId="10" applyFont="1" applyBorder="1" applyAlignment="1">
      <alignment horizontal="center" vertical="center"/>
    </xf>
    <xf numFmtId="0" fontId="58" fillId="6" borderId="4" xfId="75" applyFont="1" applyFill="1" applyBorder="1" applyAlignment="1">
      <alignment horizontal="center" vertical="center" wrapText="1"/>
    </xf>
    <xf numFmtId="0" fontId="58" fillId="6" borderId="4" xfId="75" applyFont="1" applyFill="1" applyBorder="1" applyAlignment="1">
      <alignment vertical="center" wrapText="1"/>
    </xf>
    <xf numFmtId="178" fontId="58" fillId="6" borderId="4" xfId="75" applyNumberFormat="1" applyFont="1" applyFill="1" applyBorder="1" applyAlignment="1">
      <alignment horizontal="center" vertical="center"/>
    </xf>
    <xf numFmtId="178" fontId="58" fillId="6" borderId="4" xfId="75" applyNumberFormat="1" applyFont="1" applyFill="1" applyBorder="1" applyAlignment="1">
      <alignment horizontal="center" vertical="center" wrapText="1"/>
    </xf>
    <xf numFmtId="164" fontId="58" fillId="6" borderId="4" xfId="72" applyFont="1" applyFill="1" applyBorder="1" applyAlignment="1">
      <alignment horizontal="center" vertical="center" wrapText="1"/>
    </xf>
    <xf numFmtId="43" fontId="58" fillId="6" borderId="4" xfId="69" applyFont="1" applyFill="1" applyBorder="1" applyAlignment="1">
      <alignment horizontal="center" vertical="center" wrapText="1"/>
    </xf>
    <xf numFmtId="9" fontId="52" fillId="6" borderId="4" xfId="76" applyFont="1" applyFill="1" applyBorder="1" applyAlignment="1">
      <alignment horizontal="center" vertical="center"/>
    </xf>
    <xf numFmtId="2" fontId="52" fillId="6" borderId="4" xfId="72" applyNumberFormat="1" applyFont="1" applyFill="1" applyBorder="1" applyAlignment="1">
      <alignment horizontal="center" vertical="center"/>
    </xf>
    <xf numFmtId="0" fontId="59" fillId="6" borderId="4" xfId="75" applyFont="1" applyFill="1" applyBorder="1" applyAlignment="1">
      <alignment horizontal="center" vertical="center" wrapText="1"/>
    </xf>
    <xf numFmtId="0" fontId="59" fillId="6" borderId="4" xfId="75" applyFont="1" applyFill="1" applyBorder="1" applyAlignment="1">
      <alignment horizontal="left" vertical="center" wrapText="1" indent="2"/>
    </xf>
    <xf numFmtId="0" fontId="59" fillId="6" borderId="4" xfId="75" applyFont="1" applyFill="1" applyBorder="1" applyAlignment="1">
      <alignment horizontal="center" vertical="center"/>
    </xf>
    <xf numFmtId="178" fontId="59" fillId="6" borderId="4" xfId="75" applyNumberFormat="1" applyFont="1" applyFill="1" applyBorder="1" applyAlignment="1">
      <alignment horizontal="center" vertical="center" wrapText="1"/>
    </xf>
    <xf numFmtId="0" fontId="66" fillId="6" borderId="4" xfId="75" applyFont="1" applyFill="1" applyBorder="1" applyAlignment="1">
      <alignment vertical="center" wrapText="1"/>
    </xf>
    <xf numFmtId="190" fontId="64" fillId="6" borderId="4" xfId="75" applyNumberFormat="1" applyFont="1" applyFill="1" applyBorder="1" applyAlignment="1" applyProtection="1">
      <alignment horizontal="center" vertical="center" wrapText="1"/>
      <protection locked="0"/>
    </xf>
    <xf numFmtId="0" fontId="86" fillId="14" borderId="4" xfId="75" applyFont="1" applyFill="1" applyBorder="1" applyAlignment="1">
      <alignment vertical="center" wrapText="1"/>
    </xf>
    <xf numFmtId="164" fontId="52" fillId="6" borderId="4" xfId="72" applyFont="1" applyFill="1" applyBorder="1" applyAlignment="1">
      <alignment horizontal="center" vertical="center" wrapText="1"/>
    </xf>
    <xf numFmtId="164" fontId="52" fillId="6" borderId="4" xfId="72" applyFont="1" applyFill="1" applyBorder="1" applyAlignment="1">
      <alignment horizontal="center" vertical="center"/>
    </xf>
    <xf numFmtId="164" fontId="52" fillId="6" borderId="4" xfId="72" applyFont="1" applyFill="1" applyBorder="1" applyAlignment="1">
      <alignment vertical="center"/>
    </xf>
    <xf numFmtId="0" fontId="59" fillId="0" borderId="4" xfId="75" applyFont="1" applyBorder="1" applyAlignment="1" applyProtection="1">
      <alignment horizontal="center" vertical="center" wrapText="1"/>
      <protection locked="0"/>
    </xf>
    <xf numFmtId="164" fontId="52" fillId="6" borderId="0" xfId="72" applyFont="1" applyFill="1" applyBorder="1" applyAlignment="1">
      <alignment horizontal="center" vertical="center"/>
    </xf>
    <xf numFmtId="0" fontId="52" fillId="6" borderId="4" xfId="75" applyFont="1" applyFill="1" applyBorder="1" applyAlignment="1">
      <alignment horizontal="left" vertical="center" wrapText="1" indent="2"/>
    </xf>
    <xf numFmtId="0" fontId="87" fillId="14" borderId="4" xfId="90" applyFont="1" applyFill="1" applyBorder="1" applyAlignment="1">
      <alignment vertical="center"/>
    </xf>
    <xf numFmtId="0" fontId="87" fillId="14" borderId="4" xfId="90" applyFont="1" applyFill="1" applyBorder="1" applyAlignment="1">
      <alignment vertical="center" wrapText="1"/>
    </xf>
    <xf numFmtId="43" fontId="52" fillId="6" borderId="4" xfId="69" applyFont="1" applyFill="1" applyBorder="1" applyAlignment="1">
      <alignment horizontal="center" vertical="center" wrapText="1"/>
    </xf>
    <xf numFmtId="43" fontId="52" fillId="6" borderId="4" xfId="69" applyFont="1" applyFill="1" applyBorder="1" applyAlignment="1">
      <alignment horizontal="center" vertical="center"/>
    </xf>
    <xf numFmtId="43" fontId="60" fillId="6" borderId="4" xfId="69" applyFont="1" applyFill="1" applyBorder="1" applyAlignment="1">
      <alignment horizontal="center" vertical="center"/>
    </xf>
    <xf numFmtId="9" fontId="52" fillId="6" borderId="4" xfId="70" applyFont="1" applyFill="1" applyBorder="1" applyAlignment="1">
      <alignment horizontal="center" vertical="center"/>
    </xf>
    <xf numFmtId="2" fontId="52" fillId="6" borderId="4" xfId="69" applyNumberFormat="1" applyFont="1" applyFill="1" applyBorder="1" applyAlignment="1">
      <alignment horizontal="center" vertical="center"/>
    </xf>
    <xf numFmtId="43" fontId="52" fillId="6" borderId="4" xfId="69" applyFont="1" applyFill="1" applyBorder="1" applyAlignment="1">
      <alignment vertical="center"/>
    </xf>
    <xf numFmtId="43" fontId="60" fillId="6" borderId="4" xfId="69" applyFont="1" applyFill="1" applyBorder="1" applyAlignment="1">
      <alignment vertical="center"/>
    </xf>
    <xf numFmtId="43" fontId="60" fillId="20" borderId="4" xfId="69" applyFont="1" applyFill="1" applyBorder="1" applyAlignment="1">
      <alignment vertical="center"/>
    </xf>
    <xf numFmtId="0" fontId="59" fillId="6" borderId="4" xfId="0" applyFont="1" applyFill="1" applyBorder="1" applyAlignment="1">
      <alignment horizontal="center" vertical="center" wrapText="1"/>
    </xf>
    <xf numFmtId="0" fontId="52" fillId="6" borderId="4" xfId="0" applyFont="1" applyFill="1" applyBorder="1" applyAlignment="1">
      <alignment vertical="center" wrapText="1"/>
    </xf>
    <xf numFmtId="0" fontId="59" fillId="6" borderId="4" xfId="0" applyFont="1" applyFill="1" applyBorder="1" applyAlignment="1">
      <alignment horizontal="center" vertical="center"/>
    </xf>
    <xf numFmtId="178" fontId="59" fillId="6" borderId="4" xfId="0" applyNumberFormat="1" applyFont="1" applyFill="1" applyBorder="1" applyAlignment="1">
      <alignment horizontal="center" vertical="center" wrapText="1"/>
    </xf>
    <xf numFmtId="43" fontId="60" fillId="20" borderId="4" xfId="69" applyFont="1" applyFill="1" applyBorder="1" applyAlignment="1">
      <alignment horizontal="center" vertical="center"/>
    </xf>
    <xf numFmtId="0" fontId="59" fillId="6" borderId="4" xfId="0" applyFont="1" applyFill="1" applyBorder="1" applyAlignment="1">
      <alignment vertical="center" wrapText="1"/>
    </xf>
    <xf numFmtId="188" fontId="60" fillId="20" borderId="4" xfId="69" applyNumberFormat="1" applyFont="1" applyFill="1" applyBorder="1" applyAlignment="1">
      <alignment horizontal="center" vertical="center"/>
    </xf>
    <xf numFmtId="0" fontId="52" fillId="6" borderId="4" xfId="0" applyFont="1" applyFill="1" applyBorder="1" applyAlignment="1">
      <alignment horizontal="left" vertical="center" wrapText="1" indent="2"/>
    </xf>
    <xf numFmtId="189" fontId="60" fillId="20" borderId="4" xfId="69" applyNumberFormat="1" applyFont="1" applyFill="1" applyBorder="1" applyAlignment="1">
      <alignment horizontal="center" vertical="center"/>
    </xf>
    <xf numFmtId="189" fontId="60" fillId="20" borderId="4" xfId="69" applyNumberFormat="1" applyFont="1" applyFill="1" applyBorder="1" applyAlignment="1">
      <alignment vertical="center"/>
    </xf>
    <xf numFmtId="181" fontId="60" fillId="20" borderId="4" xfId="69" applyNumberFormat="1" applyFont="1" applyFill="1" applyBorder="1" applyAlignment="1">
      <alignment vertical="center"/>
    </xf>
    <xf numFmtId="0" fontId="59" fillId="6" borderId="4" xfId="0" applyFont="1" applyFill="1" applyBorder="1" applyAlignment="1">
      <alignment vertical="top" wrapText="1"/>
    </xf>
    <xf numFmtId="43" fontId="54" fillId="18" borderId="4" xfId="69" applyFont="1" applyFill="1" applyBorder="1" applyAlignment="1">
      <alignment horizontal="center" vertical="center"/>
    </xf>
    <xf numFmtId="9" fontId="54" fillId="18" borderId="4" xfId="70" applyFont="1" applyFill="1" applyBorder="1" applyAlignment="1">
      <alignment horizontal="center" vertical="center"/>
    </xf>
    <xf numFmtId="2" fontId="54" fillId="18" borderId="4" xfId="69" applyNumberFormat="1" applyFont="1" applyFill="1" applyBorder="1" applyAlignment="1">
      <alignment horizontal="center" vertical="center"/>
    </xf>
    <xf numFmtId="43" fontId="54" fillId="18" borderId="4" xfId="69" applyFont="1" applyFill="1" applyBorder="1" applyAlignment="1">
      <alignment vertical="center"/>
    </xf>
    <xf numFmtId="188" fontId="52" fillId="0" borderId="0" xfId="69" applyNumberFormat="1" applyFont="1" applyBorder="1" applyAlignment="1">
      <alignment vertical="center"/>
    </xf>
    <xf numFmtId="188" fontId="52" fillId="17" borderId="0" xfId="69" applyNumberFormat="1" applyFont="1" applyFill="1" applyBorder="1" applyAlignment="1">
      <alignment vertical="center"/>
    </xf>
    <xf numFmtId="0" fontId="52" fillId="14" borderId="4" xfId="0" applyFont="1" applyFill="1" applyBorder="1" applyAlignment="1">
      <alignment vertical="center" wrapText="1"/>
    </xf>
    <xf numFmtId="180" fontId="61" fillId="5" borderId="4" xfId="75" applyNumberFormat="1" applyFont="1" applyFill="1" applyBorder="1" applyAlignment="1" applyProtection="1">
      <alignment horizontal="center" vertical="center" wrapText="1"/>
      <protection locked="0"/>
    </xf>
    <xf numFmtId="180" fontId="64" fillId="5" borderId="4" xfId="75" applyNumberFormat="1" applyFont="1" applyFill="1" applyBorder="1" applyAlignment="1" applyProtection="1">
      <alignment horizontal="center" vertical="center" wrapText="1"/>
      <protection locked="0"/>
    </xf>
    <xf numFmtId="17" fontId="61" fillId="0" borderId="7" xfId="75" applyNumberFormat="1" applyFont="1" applyBorder="1" applyAlignment="1" applyProtection="1">
      <alignment horizontal="center" vertical="center"/>
      <protection locked="0"/>
    </xf>
    <xf numFmtId="180" fontId="61" fillId="0" borderId="7" xfId="75" applyNumberFormat="1" applyFont="1" applyBorder="1" applyAlignment="1" applyProtection="1">
      <alignment horizontal="center" vertical="center"/>
      <protection locked="0"/>
    </xf>
    <xf numFmtId="187" fontId="61" fillId="0" borderId="7" xfId="10" applyNumberFormat="1" applyFont="1" applyBorder="1" applyAlignment="1" applyProtection="1">
      <alignment horizontal="center" vertical="center"/>
      <protection locked="0"/>
    </xf>
    <xf numFmtId="0" fontId="61" fillId="0" borderId="7" xfId="75" applyFont="1" applyBorder="1" applyAlignment="1" applyProtection="1">
      <alignment horizontal="center" vertical="center"/>
      <protection locked="0"/>
    </xf>
    <xf numFmtId="17" fontId="64" fillId="5" borderId="4" xfId="75" applyNumberFormat="1" applyFont="1" applyFill="1" applyBorder="1" applyAlignment="1" applyProtection="1">
      <alignment horizontal="center" vertical="center"/>
      <protection locked="0"/>
    </xf>
    <xf numFmtId="17" fontId="61" fillId="5" borderId="4" xfId="75" applyNumberFormat="1" applyFont="1" applyFill="1" applyBorder="1" applyAlignment="1" applyProtection="1">
      <alignment horizontal="center" vertical="center"/>
      <protection locked="0"/>
    </xf>
    <xf numFmtId="17" fontId="61" fillId="0" borderId="4" xfId="75" applyNumberFormat="1" applyFont="1" applyBorder="1" applyAlignment="1" applyProtection="1">
      <alignment horizontal="center" vertical="center"/>
      <protection locked="0"/>
    </xf>
    <xf numFmtId="17" fontId="64" fillId="0" borderId="7" xfId="75" applyNumberFormat="1" applyFont="1" applyBorder="1" applyAlignment="1" applyProtection="1">
      <alignment horizontal="center" vertical="center"/>
      <protection locked="0"/>
    </xf>
    <xf numFmtId="17" fontId="64" fillId="0" borderId="4" xfId="75" applyNumberFormat="1" applyFont="1" applyBorder="1" applyAlignment="1" applyProtection="1">
      <alignment horizontal="center" vertical="center"/>
      <protection locked="0"/>
    </xf>
    <xf numFmtId="180" fontId="61" fillId="0" borderId="4" xfId="75" applyNumberFormat="1" applyFont="1" applyBorder="1" applyAlignment="1" applyProtection="1">
      <alignment horizontal="center" vertical="center"/>
      <protection locked="0"/>
    </xf>
    <xf numFmtId="43" fontId="8" fillId="0" borderId="4" xfId="69" applyFont="1" applyFill="1" applyBorder="1" applyAlignment="1">
      <alignment horizontal="center" vertical="center" wrapText="1"/>
    </xf>
    <xf numFmtId="0" fontId="14" fillId="0" borderId="0" xfId="14" applyFont="1" applyAlignment="1">
      <alignment horizontal="center" vertical="center"/>
    </xf>
    <xf numFmtId="0" fontId="44" fillId="0" borderId="0" xfId="10" applyFont="1" applyAlignment="1">
      <alignment horizontal="center" vertical="center"/>
    </xf>
    <xf numFmtId="0" fontId="14" fillId="15" borderId="0" xfId="14" applyFont="1" applyFill="1" applyAlignment="1">
      <alignment horizontal="center" vertical="center"/>
    </xf>
    <xf numFmtId="0" fontId="44" fillId="15" borderId="0" xfId="10" applyFont="1" applyFill="1" applyAlignment="1">
      <alignment horizontal="center" vertical="center"/>
    </xf>
    <xf numFmtId="0" fontId="13" fillId="4" borderId="7" xfId="14" applyFont="1" applyFill="1" applyBorder="1" applyAlignment="1">
      <alignment horizontal="center" vertical="center"/>
    </xf>
    <xf numFmtId="0" fontId="13" fillId="4" borderId="10" xfId="14" applyFont="1" applyFill="1" applyBorder="1" applyAlignment="1">
      <alignment horizontal="center" vertical="center"/>
    </xf>
    <xf numFmtId="0" fontId="16" fillId="0" borderId="6" xfId="10" applyFont="1" applyBorder="1" applyAlignment="1">
      <alignment horizontal="center" vertical="center"/>
    </xf>
    <xf numFmtId="0" fontId="13" fillId="4" borderId="4" xfId="14" applyFont="1" applyFill="1" applyBorder="1" applyAlignment="1">
      <alignment horizontal="center" vertical="center"/>
    </xf>
    <xf numFmtId="0" fontId="16" fillId="0" borderId="4" xfId="10" applyFont="1" applyBorder="1" applyAlignment="1">
      <alignment horizontal="center" vertical="center"/>
    </xf>
    <xf numFmtId="0" fontId="9" fillId="0" borderId="0" xfId="14" applyFont="1" applyAlignment="1">
      <alignment horizontal="center" vertical="center"/>
    </xf>
    <xf numFmtId="0" fontId="18" fillId="0" borderId="0" xfId="10" applyAlignment="1">
      <alignment horizontal="center" vertical="center"/>
    </xf>
    <xf numFmtId="0" fontId="9" fillId="0" borderId="0" xfId="10" applyFont="1" applyBorder="1" applyAlignment="1">
      <alignment horizontal="center" vertical="center"/>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18" fillId="0" borderId="6" xfId="10" applyBorder="1" applyAlignment="1">
      <alignment horizontal="center" vertical="center" wrapText="1"/>
    </xf>
    <xf numFmtId="0" fontId="9" fillId="4" borderId="4" xfId="14" applyFont="1" applyFill="1" applyBorder="1" applyAlignment="1">
      <alignment horizontal="center" vertical="center"/>
    </xf>
    <xf numFmtId="0" fontId="18" fillId="0" borderId="4" xfId="10" applyBorder="1" applyAlignment="1">
      <alignment horizontal="center" vertical="center"/>
    </xf>
    <xf numFmtId="0" fontId="9" fillId="4" borderId="4" xfId="14" applyFont="1" applyFill="1" applyBorder="1" applyAlignment="1">
      <alignment horizontal="center" vertical="center" wrapText="1"/>
    </xf>
    <xf numFmtId="0" fontId="8" fillId="0" borderId="4" xfId="10" applyFont="1" applyBorder="1" applyAlignment="1">
      <alignment horizontal="center" vertical="center" wrapText="1"/>
    </xf>
    <xf numFmtId="0" fontId="9" fillId="4" borderId="5" xfId="14" applyFont="1" applyFill="1" applyBorder="1" applyAlignment="1">
      <alignment horizontal="center" vertical="center" wrapText="1"/>
    </xf>
    <xf numFmtId="0" fontId="9" fillId="4" borderId="3"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9" fillId="6" borderId="0" xfId="10" applyFont="1" applyFill="1" applyBorder="1" applyAlignment="1">
      <alignment horizontal="center" vertical="center"/>
    </xf>
    <xf numFmtId="0" fontId="34" fillId="6" borderId="12" xfId="10" applyFont="1" applyFill="1" applyBorder="1" applyAlignment="1">
      <alignment horizontal="left" vertical="center"/>
    </xf>
    <xf numFmtId="0" fontId="34" fillId="6" borderId="0" xfId="10" applyFont="1" applyFill="1" applyBorder="1" applyAlignment="1">
      <alignment horizontal="left" vertical="center"/>
    </xf>
    <xf numFmtId="0" fontId="37" fillId="6" borderId="12" xfId="10" applyFont="1" applyFill="1" applyBorder="1" applyAlignment="1">
      <alignment horizontal="left" vertical="center"/>
    </xf>
    <xf numFmtId="0" fontId="37" fillId="6" borderId="0" xfId="10" applyFont="1" applyFill="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Alignment="1">
      <alignment horizontal="left" vertical="center" wrapText="1"/>
    </xf>
    <xf numFmtId="0" fontId="31" fillId="6" borderId="0" xfId="10" applyFont="1" applyFill="1" applyAlignment="1">
      <alignment vertical="center"/>
    </xf>
    <xf numFmtId="0" fontId="34" fillId="6" borderId="0" xfId="10" applyFont="1" applyFill="1" applyBorder="1" applyAlignment="1">
      <alignment horizontal="left" vertical="center" wrapText="1"/>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48" fillId="5" borderId="11" xfId="14" applyFont="1" applyFill="1" applyBorder="1" applyAlignment="1">
      <alignment horizontal="center" vertical="center" wrapText="1"/>
    </xf>
    <xf numFmtId="0" fontId="49" fillId="5" borderId="11" xfId="14" applyFont="1" applyFill="1" applyBorder="1" applyAlignment="1">
      <alignment horizontal="center" vertical="center" wrapText="1"/>
    </xf>
    <xf numFmtId="0" fontId="49" fillId="5" borderId="13" xfId="14" applyFont="1" applyFill="1" applyBorder="1" applyAlignment="1">
      <alignment horizontal="center" vertical="center" wrapText="1"/>
    </xf>
    <xf numFmtId="0" fontId="49" fillId="5" borderId="0" xfId="14" applyFont="1" applyFill="1" applyBorder="1" applyAlignment="1">
      <alignment horizontal="center" vertical="center" wrapText="1"/>
    </xf>
    <xf numFmtId="0" fontId="49" fillId="5" borderId="14" xfId="14" applyFont="1" applyFill="1" applyBorder="1" applyAlignment="1">
      <alignment horizontal="center" vertical="center" wrapText="1"/>
    </xf>
    <xf numFmtId="0" fontId="49" fillId="5" borderId="16" xfId="14" applyFont="1" applyFill="1" applyBorder="1" applyAlignment="1">
      <alignment horizontal="center" vertical="center" wrapText="1"/>
    </xf>
    <xf numFmtId="0" fontId="49" fillId="5" borderId="17" xfId="14" applyFont="1" applyFill="1" applyBorder="1" applyAlignment="1">
      <alignment horizontal="center" vertical="center" wrapText="1"/>
    </xf>
    <xf numFmtId="0" fontId="9" fillId="4" borderId="4" xfId="14" quotePrefix="1" applyFont="1" applyFill="1" applyBorder="1" applyAlignment="1">
      <alignment horizontal="center" vertical="center" wrapText="1"/>
    </xf>
    <xf numFmtId="0" fontId="48" fillId="0" borderId="11" xfId="14" applyFont="1" applyFill="1" applyBorder="1" applyAlignment="1">
      <alignment horizontal="center" vertical="center" wrapText="1"/>
    </xf>
    <xf numFmtId="0" fontId="48" fillId="0" borderId="13" xfId="14" applyFont="1" applyFill="1" applyBorder="1" applyAlignment="1">
      <alignment horizontal="center" vertical="center" wrapText="1"/>
    </xf>
    <xf numFmtId="0" fontId="48" fillId="0" borderId="0" xfId="14" applyFont="1" applyFill="1" applyBorder="1" applyAlignment="1">
      <alignment horizontal="center" vertical="center" wrapText="1"/>
    </xf>
    <xf numFmtId="0" fontId="48" fillId="0" borderId="14" xfId="14" applyFont="1" applyFill="1" applyBorder="1" applyAlignment="1">
      <alignment horizontal="center" vertical="center" wrapText="1"/>
    </xf>
    <xf numFmtId="0" fontId="48" fillId="0" borderId="16" xfId="14" applyFont="1" applyFill="1" applyBorder="1" applyAlignment="1">
      <alignment horizontal="center" vertical="center" wrapText="1"/>
    </xf>
    <xf numFmtId="0" fontId="48" fillId="0" borderId="17" xfId="14" applyFont="1" applyFill="1" applyBorder="1" applyAlignment="1">
      <alignment horizontal="center" vertical="center" wrapText="1"/>
    </xf>
    <xf numFmtId="43" fontId="50" fillId="0" borderId="11" xfId="69" quotePrefix="1" applyFont="1" applyFill="1" applyBorder="1" applyAlignment="1">
      <alignment horizontal="center" vertical="center"/>
    </xf>
    <xf numFmtId="43" fontId="50" fillId="0" borderId="13" xfId="69" quotePrefix="1" applyFont="1" applyFill="1" applyBorder="1" applyAlignment="1">
      <alignment horizontal="center" vertical="center"/>
    </xf>
    <xf numFmtId="43" fontId="50" fillId="0" borderId="0" xfId="69" quotePrefix="1" applyFont="1" applyFill="1" applyBorder="1" applyAlignment="1">
      <alignment horizontal="center" vertical="center"/>
    </xf>
    <xf numFmtId="43" fontId="50" fillId="0" borderId="14" xfId="69" quotePrefix="1" applyFont="1" applyFill="1" applyBorder="1" applyAlignment="1">
      <alignment horizontal="center" vertical="center"/>
    </xf>
    <xf numFmtId="43" fontId="50" fillId="0" borderId="16" xfId="69" quotePrefix="1" applyFont="1" applyFill="1" applyBorder="1" applyAlignment="1">
      <alignment horizontal="center" vertical="center"/>
    </xf>
    <xf numFmtId="43" fontId="50" fillId="0" borderId="17" xfId="69" quotePrefix="1" applyFont="1" applyFill="1" applyBorder="1" applyAlignment="1">
      <alignment horizontal="center" vertical="center"/>
    </xf>
    <xf numFmtId="0" fontId="9" fillId="4" borderId="4" xfId="10" applyFont="1" applyFill="1" applyBorder="1" applyAlignment="1">
      <alignment horizontal="center" vertical="center" wrapText="1"/>
    </xf>
    <xf numFmtId="0" fontId="18" fillId="0" borderId="4" xfId="10" applyBorder="1" applyAlignment="1">
      <alignment horizontal="center" vertical="center" wrapText="1"/>
    </xf>
    <xf numFmtId="0" fontId="9" fillId="4" borderId="4" xfId="10" applyFont="1" applyFill="1" applyBorder="1" applyAlignment="1">
      <alignment horizontal="center" vertical="center"/>
    </xf>
    <xf numFmtId="0" fontId="9" fillId="4" borderId="7"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9" fillId="4" borderId="7" xfId="10" applyFont="1" applyFill="1" applyBorder="1" applyAlignment="1">
      <alignment horizontal="center" vertical="center"/>
    </xf>
    <xf numFmtId="0" fontId="9" fillId="4" borderId="6" xfId="10" applyFont="1" applyFill="1" applyBorder="1" applyAlignment="1">
      <alignment horizontal="center" vertical="center"/>
    </xf>
    <xf numFmtId="0" fontId="14" fillId="6" borderId="9" xfId="10" applyFont="1" applyFill="1" applyBorder="1" applyAlignment="1">
      <alignment horizontal="center" vertical="center"/>
    </xf>
    <xf numFmtId="0" fontId="14" fillId="6" borderId="11" xfId="10" applyFont="1" applyFill="1" applyBorder="1" applyAlignment="1">
      <alignment horizontal="center" vertical="center"/>
    </xf>
    <xf numFmtId="0" fontId="14" fillId="6" borderId="13" xfId="10" applyFont="1" applyFill="1" applyBorder="1" applyAlignment="1">
      <alignment horizontal="center" vertical="center"/>
    </xf>
    <xf numFmtId="0" fontId="14" fillId="6" borderId="12" xfId="10" applyFont="1" applyFill="1" applyBorder="1" applyAlignment="1">
      <alignment horizontal="center" vertical="center"/>
    </xf>
    <xf numFmtId="0" fontId="14" fillId="6" borderId="0" xfId="10" applyFont="1" applyFill="1" applyBorder="1" applyAlignment="1">
      <alignment horizontal="center" vertical="center"/>
    </xf>
    <xf numFmtId="0" fontId="14" fillId="6" borderId="14" xfId="10" applyFont="1" applyFill="1" applyBorder="1" applyAlignment="1">
      <alignment horizontal="center" vertical="center"/>
    </xf>
    <xf numFmtId="0" fontId="14" fillId="6" borderId="15" xfId="10" applyFont="1" applyFill="1" applyBorder="1" applyAlignment="1">
      <alignment horizontal="center" vertical="center"/>
    </xf>
    <xf numFmtId="0" fontId="14" fillId="6" borderId="16" xfId="10" applyFont="1" applyFill="1" applyBorder="1" applyAlignment="1">
      <alignment horizontal="center" vertical="center"/>
    </xf>
    <xf numFmtId="0" fontId="14" fillId="6" borderId="17" xfId="10" applyFont="1" applyFill="1" applyBorder="1" applyAlignment="1">
      <alignment horizontal="center" vertical="center"/>
    </xf>
    <xf numFmtId="0" fontId="48" fillId="5" borderId="9" xfId="10" applyFont="1" applyFill="1" applyBorder="1" applyAlignment="1">
      <alignment horizontal="center" vertical="center"/>
    </xf>
    <xf numFmtId="0" fontId="48" fillId="5" borderId="11" xfId="10" applyFont="1" applyFill="1" applyBorder="1" applyAlignment="1">
      <alignment horizontal="center" vertical="center"/>
    </xf>
    <xf numFmtId="0" fontId="48" fillId="5" borderId="13" xfId="10" applyFont="1" applyFill="1" applyBorder="1" applyAlignment="1">
      <alignment horizontal="center" vertical="center"/>
    </xf>
    <xf numFmtId="0" fontId="48" fillId="5" borderId="12" xfId="10" applyFont="1" applyFill="1" applyBorder="1" applyAlignment="1">
      <alignment horizontal="center" vertical="center"/>
    </xf>
    <xf numFmtId="0" fontId="48" fillId="5" borderId="0" xfId="10" applyFont="1" applyFill="1" applyBorder="1" applyAlignment="1">
      <alignment horizontal="center" vertical="center"/>
    </xf>
    <xf numFmtId="0" fontId="48" fillId="5" borderId="14" xfId="10" applyFont="1" applyFill="1" applyBorder="1" applyAlignment="1">
      <alignment horizontal="center" vertical="center"/>
    </xf>
    <xf numFmtId="0" fontId="48" fillId="5" borderId="15" xfId="10" applyFont="1" applyFill="1" applyBorder="1" applyAlignment="1">
      <alignment horizontal="center" vertical="center"/>
    </xf>
    <xf numFmtId="0" fontId="48" fillId="5" borderId="16" xfId="10" applyFont="1" applyFill="1" applyBorder="1" applyAlignment="1">
      <alignment horizontal="center" vertical="center"/>
    </xf>
    <xf numFmtId="0" fontId="48" fillId="5" borderId="17" xfId="10" applyFont="1" applyFill="1" applyBorder="1" applyAlignment="1">
      <alignment horizontal="center" vertical="center"/>
    </xf>
    <xf numFmtId="0" fontId="14" fillId="14" borderId="9" xfId="10" applyFont="1" applyFill="1" applyBorder="1" applyAlignment="1">
      <alignment horizontal="center" vertical="center"/>
    </xf>
    <xf numFmtId="0" fontId="14" fillId="14" borderId="11" xfId="10" applyFont="1" applyFill="1" applyBorder="1" applyAlignment="1">
      <alignment horizontal="center" vertical="center"/>
    </xf>
    <xf numFmtId="0" fontId="14" fillId="14" borderId="13" xfId="10" applyFont="1" applyFill="1" applyBorder="1" applyAlignment="1">
      <alignment horizontal="center" vertical="center"/>
    </xf>
    <xf numFmtId="0" fontId="14" fillId="14" borderId="12" xfId="10" applyFont="1" applyFill="1" applyBorder="1" applyAlignment="1">
      <alignment horizontal="center" vertical="center"/>
    </xf>
    <xf numFmtId="0" fontId="14" fillId="14" borderId="0" xfId="10" applyFont="1" applyFill="1" applyBorder="1" applyAlignment="1">
      <alignment horizontal="center" vertical="center"/>
    </xf>
    <xf numFmtId="0" fontId="14" fillId="14" borderId="14" xfId="10" applyFont="1" applyFill="1" applyBorder="1" applyAlignment="1">
      <alignment horizontal="center" vertical="center"/>
    </xf>
    <xf numFmtId="0" fontId="14" fillId="14" borderId="15" xfId="10" applyFont="1" applyFill="1" applyBorder="1" applyAlignment="1">
      <alignment horizontal="center" vertical="center"/>
    </xf>
    <xf numFmtId="0" fontId="14" fillId="14" borderId="16" xfId="10" applyFont="1" applyFill="1" applyBorder="1" applyAlignment="1">
      <alignment horizontal="center" vertical="center"/>
    </xf>
    <xf numFmtId="0" fontId="14" fillId="14" borderId="17" xfId="10" applyFont="1" applyFill="1" applyBorder="1" applyAlignment="1">
      <alignment horizontal="center" vertical="center"/>
    </xf>
    <xf numFmtId="0" fontId="9" fillId="0" borderId="0" xfId="14" applyFont="1" applyFill="1" applyBorder="1" applyAlignment="1">
      <alignment horizontal="center" vertical="center" wrapText="1"/>
    </xf>
    <xf numFmtId="0" fontId="9" fillId="4" borderId="6" xfId="14" applyFont="1" applyFill="1" applyBorder="1" applyAlignment="1">
      <alignment horizontal="center" vertical="center" wrapText="1"/>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164" fontId="8" fillId="0" borderId="4" xfId="29" applyFont="1" applyFill="1" applyBorder="1" applyAlignment="1">
      <alignment horizontal="center" vertical="center"/>
    </xf>
    <xf numFmtId="164" fontId="8" fillId="0" borderId="7" xfId="29" applyFont="1" applyFill="1" applyBorder="1" applyAlignment="1">
      <alignment horizontal="center" vertical="center"/>
    </xf>
    <xf numFmtId="164" fontId="8" fillId="0" borderId="10" xfId="29" applyFont="1" applyFill="1" applyBorder="1" applyAlignment="1">
      <alignment horizontal="center" vertical="center"/>
    </xf>
    <xf numFmtId="164" fontId="8" fillId="0" borderId="6" xfId="29" applyFont="1" applyFill="1" applyBorder="1" applyAlignment="1">
      <alignment horizontal="center" vertical="center"/>
    </xf>
    <xf numFmtId="0" fontId="8" fillId="0" borderId="4" xfId="0" applyFont="1" applyFill="1" applyBorder="1" applyAlignment="1">
      <alignment horizontal="center" vertical="top"/>
    </xf>
    <xf numFmtId="0" fontId="9" fillId="7" borderId="7" xfId="10" applyFont="1" applyFill="1" applyBorder="1" applyAlignment="1">
      <alignment horizontal="center" vertical="center"/>
    </xf>
    <xf numFmtId="0" fontId="9" fillId="7" borderId="10" xfId="10" applyFont="1" applyFill="1" applyBorder="1" applyAlignment="1">
      <alignment horizontal="center" vertical="center"/>
    </xf>
    <xf numFmtId="0" fontId="9" fillId="7" borderId="6" xfId="10" applyFont="1" applyFill="1" applyBorder="1" applyAlignment="1">
      <alignment horizontal="center" vertical="center"/>
    </xf>
    <xf numFmtId="0" fontId="9" fillId="7" borderId="7" xfId="10" applyFont="1" applyFill="1" applyBorder="1" applyAlignment="1">
      <alignment horizontal="center" vertical="center" wrapText="1"/>
    </xf>
    <xf numFmtId="0" fontId="9" fillId="7" borderId="10" xfId="10" applyFont="1" applyFill="1" applyBorder="1" applyAlignment="1">
      <alignment horizontal="center" vertical="center" wrapText="1"/>
    </xf>
    <xf numFmtId="0" fontId="9" fillId="7" borderId="6" xfId="10" applyFont="1" applyFill="1" applyBorder="1" applyAlignment="1">
      <alignment horizontal="center" vertical="center" wrapText="1"/>
    </xf>
    <xf numFmtId="4" fontId="8" fillId="0" borderId="7" xfId="10" applyNumberFormat="1" applyFont="1" applyFill="1" applyBorder="1" applyAlignment="1" applyProtection="1">
      <alignment horizontal="center" vertical="center"/>
    </xf>
    <xf numFmtId="4" fontId="8" fillId="0" borderId="10" xfId="10" applyNumberFormat="1" applyFont="1" applyFill="1" applyBorder="1" applyAlignment="1" applyProtection="1">
      <alignment horizontal="center" vertical="center"/>
    </xf>
    <xf numFmtId="4" fontId="8" fillId="0" borderId="6" xfId="10" applyNumberFormat="1" applyFont="1" applyFill="1" applyBorder="1" applyAlignment="1" applyProtection="1">
      <alignment horizontal="center" vertical="center"/>
    </xf>
    <xf numFmtId="2" fontId="8" fillId="0" borderId="7" xfId="10" applyNumberFormat="1" applyFont="1" applyFill="1" applyBorder="1" applyAlignment="1" applyProtection="1">
      <alignment horizontal="center" vertical="center"/>
    </xf>
    <xf numFmtId="2" fontId="8" fillId="0" borderId="10" xfId="10" applyNumberFormat="1" applyFont="1" applyFill="1" applyBorder="1" applyAlignment="1" applyProtection="1">
      <alignment horizontal="center" vertical="center"/>
    </xf>
    <xf numFmtId="2" fontId="8" fillId="0" borderId="6" xfId="10" applyNumberFormat="1" applyFont="1" applyFill="1" applyBorder="1" applyAlignment="1" applyProtection="1">
      <alignment horizontal="center" vertical="center"/>
    </xf>
    <xf numFmtId="164" fontId="8" fillId="0" borderId="7" xfId="29" applyFont="1" applyFill="1" applyBorder="1" applyAlignment="1" applyProtection="1">
      <alignment horizontal="center" vertical="center"/>
    </xf>
    <xf numFmtId="164" fontId="8" fillId="0" borderId="10" xfId="29" applyFont="1" applyFill="1" applyBorder="1" applyAlignment="1" applyProtection="1">
      <alignment horizontal="center" vertical="center"/>
    </xf>
    <xf numFmtId="164" fontId="8" fillId="0" borderId="6" xfId="29" applyFont="1" applyFill="1" applyBorder="1" applyAlignment="1" applyProtection="1">
      <alignment horizontal="center" vertical="center"/>
    </xf>
    <xf numFmtId="0" fontId="9" fillId="7" borderId="4" xfId="10" applyFont="1" applyFill="1" applyBorder="1" applyAlignment="1">
      <alignment horizontal="center" wrapText="1"/>
    </xf>
    <xf numFmtId="0" fontId="9" fillId="7" borderId="4" xfId="10" applyFont="1" applyFill="1" applyBorder="1" applyAlignment="1">
      <alignment horizontal="center" vertical="center" wrapText="1"/>
    </xf>
    <xf numFmtId="0" fontId="9" fillId="0" borderId="0" xfId="10" applyFont="1" applyAlignment="1">
      <alignment horizontal="left"/>
    </xf>
    <xf numFmtId="0" fontId="9" fillId="7" borderId="5" xfId="14" applyFont="1" applyFill="1" applyBorder="1" applyAlignment="1">
      <alignment horizontal="center" vertical="center" wrapText="1"/>
    </xf>
    <xf numFmtId="0" fontId="9" fillId="7" borderId="3" xfId="14" applyFont="1" applyFill="1" applyBorder="1" applyAlignment="1">
      <alignment horizontal="center" vertical="center" wrapText="1"/>
    </xf>
    <xf numFmtId="0" fontId="9" fillId="7" borderId="8" xfId="14" applyFont="1" applyFill="1" applyBorder="1" applyAlignment="1">
      <alignment horizontal="center" vertical="center" wrapText="1"/>
    </xf>
    <xf numFmtId="0" fontId="9" fillId="7" borderId="5" xfId="10" applyFont="1" applyFill="1" applyBorder="1" applyAlignment="1">
      <alignment horizontal="center" vertical="center" wrapText="1"/>
    </xf>
    <xf numFmtId="0" fontId="9" fillId="7" borderId="3" xfId="10" applyFont="1" applyFill="1" applyBorder="1" applyAlignment="1">
      <alignment horizontal="center" vertical="center" wrapText="1"/>
    </xf>
    <xf numFmtId="0" fontId="9" fillId="7" borderId="8"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9" fillId="7" borderId="5" xfId="10" applyFont="1" applyFill="1" applyBorder="1" applyAlignment="1">
      <alignment horizontal="center" vertical="center"/>
    </xf>
    <xf numFmtId="0" fontId="9" fillId="7" borderId="8" xfId="10" applyFont="1" applyFill="1" applyBorder="1" applyAlignment="1">
      <alignment horizontal="center" vertical="center"/>
    </xf>
    <xf numFmtId="164" fontId="9" fillId="0" borderId="4" xfId="29" applyFont="1" applyFill="1" applyBorder="1" applyAlignment="1" applyProtection="1">
      <alignment horizontal="center" vertical="center"/>
    </xf>
    <xf numFmtId="4" fontId="9" fillId="0" borderId="4" xfId="10" applyNumberFormat="1" applyFont="1" applyFill="1" applyBorder="1" applyAlignment="1" applyProtection="1">
      <alignment horizontal="center" vertical="center"/>
    </xf>
    <xf numFmtId="0" fontId="18" fillId="0" borderId="4" xfId="10" applyBorder="1" applyAlignment="1">
      <alignment vertical="center"/>
    </xf>
    <xf numFmtId="0" fontId="18" fillId="7" borderId="6" xfId="10" applyFill="1" applyBorder="1" applyAlignment="1">
      <alignment horizontal="center" vertical="center" wrapText="1"/>
    </xf>
    <xf numFmtId="0" fontId="9" fillId="7" borderId="4" xfId="14" applyFont="1" applyFill="1" applyBorder="1" applyAlignment="1">
      <alignment horizontal="center" vertical="center"/>
    </xf>
    <xf numFmtId="0" fontId="18" fillId="7" borderId="4" xfId="10" applyFill="1" applyBorder="1" applyAlignment="1">
      <alignment horizontal="center" vertical="center"/>
    </xf>
    <xf numFmtId="0" fontId="54" fillId="4" borderId="4" xfId="10" applyFont="1" applyFill="1" applyBorder="1" applyAlignment="1">
      <alignment horizontal="center" vertical="center" wrapText="1"/>
    </xf>
    <xf numFmtId="175" fontId="54" fillId="4" borderId="4" xfId="69" applyNumberFormat="1" applyFont="1" applyFill="1" applyBorder="1" applyAlignment="1">
      <alignment horizontal="center" vertical="center" wrapText="1"/>
    </xf>
    <xf numFmtId="43" fontId="54" fillId="4" borderId="4" xfId="69" applyFont="1" applyFill="1" applyBorder="1" applyAlignment="1">
      <alignment horizontal="center" vertical="center" wrapText="1"/>
    </xf>
    <xf numFmtId="178" fontId="54" fillId="4" borderId="4" xfId="69" applyNumberFormat="1" applyFont="1" applyFill="1" applyBorder="1" applyAlignment="1">
      <alignment horizontal="center" vertical="center" wrapText="1"/>
    </xf>
    <xf numFmtId="178" fontId="54" fillId="4" borderId="7" xfId="10" applyNumberFormat="1" applyFont="1" applyFill="1" applyBorder="1" applyAlignment="1">
      <alignment horizontal="center" vertical="center"/>
    </xf>
    <xf numFmtId="178" fontId="54" fillId="4" borderId="6" xfId="10" applyNumberFormat="1" applyFont="1" applyFill="1" applyBorder="1" applyAlignment="1">
      <alignment horizontal="center" vertical="center"/>
    </xf>
    <xf numFmtId="0" fontId="54" fillId="4" borderId="4" xfId="10" applyFont="1" applyFill="1" applyBorder="1" applyAlignment="1">
      <alignment horizontal="center" vertical="center"/>
    </xf>
    <xf numFmtId="0" fontId="55" fillId="4" borderId="4" xfId="10" applyFont="1" applyFill="1" applyBorder="1" applyAlignment="1">
      <alignment horizontal="center" vertical="center" wrapText="1"/>
    </xf>
    <xf numFmtId="178" fontId="54" fillId="4" borderId="5" xfId="10" applyNumberFormat="1" applyFont="1" applyFill="1" applyBorder="1" applyAlignment="1">
      <alignment horizontal="center" vertical="center" wrapText="1"/>
    </xf>
    <xf numFmtId="178" fontId="54" fillId="4" borderId="3" xfId="10" applyNumberFormat="1" applyFont="1" applyFill="1" applyBorder="1" applyAlignment="1">
      <alignment horizontal="center" vertical="center" wrapText="1"/>
    </xf>
    <xf numFmtId="178" fontId="54" fillId="4" borderId="8" xfId="10" applyNumberFormat="1" applyFont="1" applyFill="1" applyBorder="1" applyAlignment="1">
      <alignment horizontal="center" vertical="center" wrapText="1"/>
    </xf>
    <xf numFmtId="0" fontId="52" fillId="6" borderId="7" xfId="10" applyFont="1" applyFill="1" applyBorder="1" applyAlignment="1">
      <alignment horizontal="center" vertical="center"/>
    </xf>
    <xf numFmtId="0" fontId="52" fillId="6" borderId="10" xfId="10" applyFont="1" applyFill="1" applyBorder="1" applyAlignment="1">
      <alignment horizontal="center" vertical="center"/>
    </xf>
    <xf numFmtId="0" fontId="52" fillId="6" borderId="6" xfId="10" applyFont="1" applyFill="1" applyBorder="1" applyAlignment="1">
      <alignment horizontal="center" vertical="center"/>
    </xf>
    <xf numFmtId="178" fontId="54" fillId="4" borderId="4" xfId="10" applyNumberFormat="1" applyFont="1" applyFill="1" applyBorder="1" applyAlignment="1">
      <alignment horizontal="center" vertical="center" wrapText="1"/>
    </xf>
    <xf numFmtId="0" fontId="54" fillId="14" borderId="4" xfId="10" applyFont="1" applyFill="1" applyBorder="1" applyAlignment="1">
      <alignment horizontal="center" vertical="center" wrapText="1"/>
    </xf>
    <xf numFmtId="9" fontId="54" fillId="4" borderId="4" xfId="70" applyFont="1" applyFill="1" applyBorder="1" applyAlignment="1">
      <alignment horizontal="center" vertical="center" wrapText="1"/>
    </xf>
    <xf numFmtId="2" fontId="54" fillId="4" borderId="4" xfId="69" applyNumberFormat="1" applyFont="1" applyFill="1" applyBorder="1" applyAlignment="1">
      <alignment horizontal="center" vertical="center" wrapText="1"/>
    </xf>
    <xf numFmtId="43" fontId="54" fillId="4" borderId="7" xfId="69" applyFont="1" applyFill="1" applyBorder="1" applyAlignment="1">
      <alignment horizontal="center" vertical="center" wrapText="1"/>
    </xf>
    <xf numFmtId="43" fontId="54" fillId="4" borderId="10" xfId="69" applyFont="1" applyFill="1" applyBorder="1" applyAlignment="1">
      <alignment horizontal="center" vertical="center" wrapText="1"/>
    </xf>
    <xf numFmtId="43" fontId="54" fillId="4" borderId="6" xfId="69" applyFont="1" applyFill="1" applyBorder="1" applyAlignment="1">
      <alignment horizontal="center" vertical="center" wrapText="1"/>
    </xf>
    <xf numFmtId="0" fontId="54" fillId="4" borderId="7" xfId="10" applyFont="1" applyFill="1" applyBorder="1" applyAlignment="1">
      <alignment horizontal="center" vertical="center" wrapText="1"/>
    </xf>
    <xf numFmtId="0" fontId="54" fillId="4" borderId="10" xfId="10" applyFont="1" applyFill="1" applyBorder="1" applyAlignment="1">
      <alignment horizontal="center" vertical="center" wrapText="1"/>
    </xf>
    <xf numFmtId="0" fontId="54" fillId="4" borderId="6" xfId="10" applyFont="1" applyFill="1" applyBorder="1" applyAlignment="1">
      <alignment horizontal="center" vertical="center" wrapText="1"/>
    </xf>
    <xf numFmtId="43" fontId="68" fillId="4" borderId="7" xfId="69" applyFont="1" applyFill="1" applyBorder="1" applyAlignment="1">
      <alignment horizontal="center" vertical="center" wrapText="1"/>
    </xf>
    <xf numFmtId="43" fontId="68" fillId="4" borderId="10" xfId="69" applyFont="1" applyFill="1" applyBorder="1" applyAlignment="1">
      <alignment horizontal="center" vertical="center" wrapText="1"/>
    </xf>
    <xf numFmtId="43" fontId="68" fillId="4" borderId="6" xfId="69" applyFont="1" applyFill="1" applyBorder="1" applyAlignment="1">
      <alignment horizontal="center" vertical="center" wrapText="1"/>
    </xf>
    <xf numFmtId="0" fontId="68" fillId="4" borderId="4" xfId="10" applyFont="1" applyFill="1" applyBorder="1" applyAlignment="1">
      <alignment horizontal="center" vertical="center" wrapText="1"/>
    </xf>
    <xf numFmtId="14" fontId="68" fillId="4" borderId="4" xfId="10" applyNumberFormat="1" applyFont="1" applyFill="1" applyBorder="1" applyAlignment="1">
      <alignment horizontal="center" vertical="center" wrapText="1"/>
    </xf>
    <xf numFmtId="43" fontId="68" fillId="4" borderId="4" xfId="69" applyFont="1" applyFill="1" applyBorder="1" applyAlignment="1">
      <alignment horizontal="center" vertical="center" wrapText="1"/>
    </xf>
    <xf numFmtId="2" fontId="68" fillId="4" borderId="4" xfId="69" applyNumberFormat="1" applyFont="1" applyFill="1" applyBorder="1" applyAlignment="1">
      <alignment horizontal="center" vertical="center" wrapText="1"/>
    </xf>
    <xf numFmtId="0" fontId="68" fillId="4" borderId="7" xfId="10" applyFont="1" applyFill="1" applyBorder="1" applyAlignment="1">
      <alignment horizontal="center" vertical="center" wrapText="1"/>
    </xf>
    <xf numFmtId="0" fontId="68" fillId="4" borderId="10" xfId="10" applyFont="1" applyFill="1" applyBorder="1" applyAlignment="1">
      <alignment horizontal="center" vertical="center" wrapText="1"/>
    </xf>
    <xf numFmtId="0" fontId="68" fillId="4" borderId="6" xfId="10" applyFont="1" applyFill="1" applyBorder="1" applyAlignment="1">
      <alignment horizontal="center" vertical="center" wrapText="1"/>
    </xf>
    <xf numFmtId="0" fontId="68" fillId="14" borderId="4" xfId="10" applyFont="1" applyFill="1" applyBorder="1" applyAlignment="1">
      <alignment horizontal="center" vertical="center" wrapText="1"/>
    </xf>
    <xf numFmtId="9" fontId="68" fillId="4" borderId="4" xfId="70" applyFont="1" applyFill="1" applyBorder="1" applyAlignment="1">
      <alignment horizontal="center" vertical="center" wrapText="1"/>
    </xf>
    <xf numFmtId="178" fontId="68" fillId="4" borderId="4" xfId="10" applyNumberFormat="1" applyFont="1" applyFill="1" applyBorder="1" applyAlignment="1">
      <alignment horizontal="center" vertical="center" wrapText="1"/>
    </xf>
    <xf numFmtId="178" fontId="68" fillId="4" borderId="7" xfId="10" applyNumberFormat="1" applyFont="1" applyFill="1" applyBorder="1" applyAlignment="1">
      <alignment horizontal="center" vertical="center" wrapText="1"/>
    </xf>
    <xf numFmtId="178" fontId="68" fillId="4" borderId="10" xfId="10" applyNumberFormat="1" applyFont="1" applyFill="1" applyBorder="1" applyAlignment="1">
      <alignment horizontal="center" vertical="center" wrapText="1"/>
    </xf>
    <xf numFmtId="178" fontId="68" fillId="4" borderId="6" xfId="10" applyNumberFormat="1" applyFont="1" applyFill="1" applyBorder="1" applyAlignment="1">
      <alignment horizontal="center" vertical="center" wrapText="1"/>
    </xf>
    <xf numFmtId="0" fontId="69" fillId="0" borderId="7" xfId="10" applyFont="1" applyBorder="1" applyAlignment="1">
      <alignment horizontal="center" vertical="center" wrapText="1"/>
    </xf>
    <xf numFmtId="0" fontId="69" fillId="0" borderId="10" xfId="10" applyFont="1" applyBorder="1" applyAlignment="1">
      <alignment horizontal="center" vertical="center" wrapText="1"/>
    </xf>
    <xf numFmtId="0" fontId="69" fillId="0" borderId="7" xfId="10" applyFont="1" applyBorder="1" applyAlignment="1">
      <alignment horizontal="center" vertical="center"/>
    </xf>
    <xf numFmtId="0" fontId="69" fillId="0" borderId="10" xfId="10" applyFont="1" applyBorder="1" applyAlignment="1">
      <alignment horizontal="center" vertical="center"/>
    </xf>
    <xf numFmtId="0" fontId="69" fillId="0" borderId="6" xfId="10" applyFont="1" applyBorder="1" applyAlignment="1">
      <alignment horizontal="center" vertical="center" wrapText="1"/>
    </xf>
    <xf numFmtId="0" fontId="69" fillId="0" borderId="6" xfId="10" applyFont="1" applyBorder="1" applyAlignment="1">
      <alignment horizontal="center" vertical="center"/>
    </xf>
    <xf numFmtId="14" fontId="54" fillId="4" borderId="4" xfId="10" applyNumberFormat="1"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4" xfId="31" applyFont="1" applyFill="1" applyBorder="1" applyAlignment="1">
      <alignment horizontal="center" wrapText="1"/>
    </xf>
    <xf numFmtId="0" fontId="18" fillId="0" borderId="4" xfId="31" applyBorder="1" applyAlignment="1">
      <alignment horizontal="center" wrapText="1"/>
    </xf>
    <xf numFmtId="0" fontId="9" fillId="4" borderId="4" xfId="10" applyFont="1" applyFill="1" applyBorder="1" applyAlignment="1">
      <alignment horizontal="center" wrapText="1"/>
    </xf>
    <xf numFmtId="0" fontId="26" fillId="0" borderId="4" xfId="10" applyFont="1" applyBorder="1" applyAlignment="1">
      <alignment horizontal="center" wrapText="1"/>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8" fillId="6" borderId="0" xfId="68" applyFont="1" applyFill="1" applyAlignment="1">
      <alignment horizontal="left" vertical="center"/>
    </xf>
    <xf numFmtId="0" fontId="8" fillId="14" borderId="0" xfId="68" applyFont="1" applyFill="1" applyAlignment="1">
      <alignment horizontal="left" vertical="center"/>
    </xf>
    <xf numFmtId="0" fontId="9" fillId="4" borderId="5" xfId="10" applyFont="1" applyFill="1" applyBorder="1" applyAlignment="1">
      <alignment horizontal="center" wrapText="1"/>
    </xf>
    <xf numFmtId="0" fontId="9" fillId="4" borderId="3" xfId="10" applyFont="1" applyFill="1" applyBorder="1" applyAlignment="1">
      <alignment horizontal="center" wrapText="1"/>
    </xf>
    <xf numFmtId="0" fontId="9" fillId="4" borderId="8" xfId="10" applyFont="1" applyFill="1" applyBorder="1" applyAlignment="1">
      <alignment horizontal="center" wrapText="1"/>
    </xf>
    <xf numFmtId="0" fontId="9" fillId="4"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4" borderId="8" xfId="10" applyFont="1" applyFill="1" applyBorder="1" applyAlignment="1">
      <alignment horizontal="center" vertical="center" wrapText="1"/>
    </xf>
    <xf numFmtId="176" fontId="8" fillId="5" borderId="0" xfId="69" applyNumberFormat="1" applyFont="1" applyFill="1" applyBorder="1" applyAlignment="1">
      <alignment horizontal="left" vertical="top" wrapText="1"/>
    </xf>
    <xf numFmtId="176" fontId="9" fillId="4" borderId="7" xfId="69" applyNumberFormat="1" applyFont="1" applyFill="1" applyBorder="1" applyAlignment="1">
      <alignment horizontal="center" vertical="center" wrapText="1"/>
    </xf>
    <xf numFmtId="176" fontId="9" fillId="4" borderId="10" xfId="69" applyNumberFormat="1" applyFont="1" applyFill="1" applyBorder="1" applyAlignment="1">
      <alignment horizontal="center" vertical="center" wrapText="1"/>
    </xf>
    <xf numFmtId="176" fontId="9" fillId="4" borderId="6" xfId="69"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0" fontId="8" fillId="0" borderId="0" xfId="14" applyFont="1" applyFill="1" applyAlignment="1">
      <alignment horizontal="left" vertical="center" wrapText="1"/>
    </xf>
    <xf numFmtId="0" fontId="13" fillId="0" borderId="0" xfId="14" applyFont="1" applyAlignment="1">
      <alignment horizontal="center" vertical="center" wrapText="1"/>
    </xf>
    <xf numFmtId="0" fontId="9" fillId="4" borderId="7" xfId="14" applyFont="1" applyFill="1" applyBorder="1" applyAlignment="1">
      <alignment horizontal="center" vertical="center"/>
    </xf>
    <xf numFmtId="0" fontId="9" fillId="4" borderId="6" xfId="14" applyFont="1" applyFill="1" applyBorder="1" applyAlignment="1">
      <alignment horizontal="center" vertical="center"/>
    </xf>
    <xf numFmtId="0" fontId="8" fillId="0" borderId="0" xfId="14" applyFont="1" applyAlignment="1">
      <alignment horizontal="left" vertical="center" wrapText="1"/>
    </xf>
    <xf numFmtId="0" fontId="8" fillId="0" borderId="0" xfId="14" applyFont="1" applyAlignment="1">
      <alignment horizontal="left" vertical="center"/>
    </xf>
    <xf numFmtId="0" fontId="9" fillId="0" borderId="0" xfId="10" applyFont="1" applyFill="1" applyBorder="1" applyAlignment="1">
      <alignment horizontal="center" vertical="center"/>
    </xf>
    <xf numFmtId="0" fontId="18" fillId="0" borderId="0" xfId="10" applyFill="1" applyAlignment="1">
      <alignment horizontal="center" vertical="center"/>
    </xf>
    <xf numFmtId="0" fontId="9" fillId="4" borderId="4" xfId="10" applyFont="1" applyFill="1" applyBorder="1" applyAlignment="1">
      <alignment horizontal="center"/>
    </xf>
    <xf numFmtId="0" fontId="11" fillId="4" borderId="4" xfId="14" applyFont="1" applyFill="1" applyBorder="1" applyAlignment="1">
      <alignment horizontal="center" vertical="center"/>
    </xf>
    <xf numFmtId="0" fontId="9" fillId="4" borderId="4" xfId="10" applyFont="1" applyFill="1" applyBorder="1" applyAlignment="1">
      <alignment horizontal="center" vertical="top" wrapText="1"/>
    </xf>
    <xf numFmtId="0" fontId="18" fillId="0" borderId="4" xfId="10" applyBorder="1"/>
    <xf numFmtId="0" fontId="9" fillId="0" borderId="0" xfId="10" applyFont="1" applyBorder="1" applyAlignment="1">
      <alignment horizontal="center" vertical="top"/>
    </xf>
    <xf numFmtId="43" fontId="8" fillId="0" borderId="7" xfId="69" applyFont="1" applyBorder="1" applyAlignment="1">
      <alignment horizontal="center" vertical="center"/>
    </xf>
    <xf numFmtId="43" fontId="8" fillId="0" borderId="10" xfId="69" applyFont="1" applyBorder="1" applyAlignment="1">
      <alignment horizontal="center" vertical="center"/>
    </xf>
    <xf numFmtId="43" fontId="8" fillId="0" borderId="6" xfId="69" applyFont="1" applyBorder="1" applyAlignment="1">
      <alignment horizontal="center" vertical="center"/>
    </xf>
    <xf numFmtId="0" fontId="10" fillId="0" borderId="0" xfId="10" applyFont="1" applyAlignment="1">
      <alignment horizontal="center" vertical="center"/>
    </xf>
    <xf numFmtId="0" fontId="10" fillId="6" borderId="0" xfId="10" applyFont="1" applyFill="1" applyAlignment="1">
      <alignment horizontal="center" vertical="center"/>
    </xf>
    <xf numFmtId="0" fontId="10" fillId="7" borderId="4" xfId="10" applyFont="1" applyFill="1" applyBorder="1" applyAlignment="1">
      <alignment horizontal="center" vertical="center" wrapText="1"/>
    </xf>
    <xf numFmtId="0" fontId="9" fillId="0" borderId="0" xfId="10" applyFont="1" applyAlignment="1">
      <alignment horizontal="center" vertical="center" wrapText="1"/>
    </xf>
    <xf numFmtId="0" fontId="84" fillId="0" borderId="0" xfId="14" applyFont="1" applyAlignment="1">
      <alignment horizontal="left" vertical="center" wrapText="1"/>
    </xf>
    <xf numFmtId="0" fontId="9" fillId="0" borderId="0"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0" borderId="9" xfId="71" applyFont="1" applyBorder="1" applyAlignment="1">
      <alignment horizontal="center" vertical="center"/>
    </xf>
    <xf numFmtId="0" fontId="8" fillId="0" borderId="11" xfId="71" applyFont="1" applyBorder="1" applyAlignment="1">
      <alignment horizontal="center" vertical="center"/>
    </xf>
    <xf numFmtId="0" fontId="8" fillId="0" borderId="13" xfId="71" applyFont="1" applyBorder="1" applyAlignment="1">
      <alignment horizontal="center" vertical="center"/>
    </xf>
    <xf numFmtId="0" fontId="8" fillId="0" borderId="12" xfId="71" applyFont="1" applyBorder="1" applyAlignment="1">
      <alignment horizontal="center" vertical="center"/>
    </xf>
    <xf numFmtId="0" fontId="8" fillId="0" borderId="0" xfId="71" applyFont="1" applyBorder="1" applyAlignment="1">
      <alignment horizontal="center" vertical="center"/>
    </xf>
    <xf numFmtId="0" fontId="8" fillId="0" borderId="14" xfId="71" applyFont="1" applyBorder="1" applyAlignment="1">
      <alignment horizontal="center" vertical="center"/>
    </xf>
    <xf numFmtId="0" fontId="8" fillId="0" borderId="15" xfId="71" applyFont="1" applyBorder="1" applyAlignment="1">
      <alignment horizontal="center" vertical="center"/>
    </xf>
    <xf numFmtId="0" fontId="8" fillId="0" borderId="16" xfId="71" applyFont="1" applyBorder="1" applyAlignment="1">
      <alignment horizontal="center" vertical="center"/>
    </xf>
    <xf numFmtId="0" fontId="8" fillId="0" borderId="17" xfId="71" applyFont="1" applyBorder="1" applyAlignment="1">
      <alignment horizontal="center" vertical="center"/>
    </xf>
    <xf numFmtId="0" fontId="9" fillId="0" borderId="9" xfId="35" applyFont="1" applyBorder="1" applyAlignment="1">
      <alignment horizontal="center" vertical="top"/>
    </xf>
    <xf numFmtId="0" fontId="9" fillId="0" borderId="11" xfId="35" applyFont="1" applyBorder="1" applyAlignment="1">
      <alignment horizontal="center" vertical="top"/>
    </xf>
    <xf numFmtId="0" fontId="9" fillId="0" borderId="13" xfId="35" applyFont="1" applyBorder="1" applyAlignment="1">
      <alignment horizontal="center" vertical="top"/>
    </xf>
    <xf numFmtId="0" fontId="9" fillId="0" borderId="12" xfId="35" applyFont="1" applyBorder="1" applyAlignment="1">
      <alignment horizontal="center" vertical="top"/>
    </xf>
    <xf numFmtId="0" fontId="9" fillId="0" borderId="0" xfId="35" applyFont="1" applyBorder="1" applyAlignment="1">
      <alignment horizontal="center" vertical="top"/>
    </xf>
    <xf numFmtId="0" fontId="9" fillId="0" borderId="14" xfId="35" applyFont="1" applyBorder="1" applyAlignment="1">
      <alignment horizontal="center" vertical="top"/>
    </xf>
    <xf numFmtId="0" fontId="9" fillId="0" borderId="15" xfId="35" applyFont="1" applyBorder="1" applyAlignment="1">
      <alignment horizontal="center" vertical="top"/>
    </xf>
    <xf numFmtId="0" fontId="9" fillId="0" borderId="16" xfId="35" applyFont="1" applyBorder="1" applyAlignment="1">
      <alignment horizontal="center" vertical="top"/>
    </xf>
    <xf numFmtId="0" fontId="9" fillId="0" borderId="17" xfId="35" applyFont="1" applyBorder="1" applyAlignment="1">
      <alignment horizontal="center" vertical="top"/>
    </xf>
    <xf numFmtId="0" fontId="9" fillId="4" borderId="7" xfId="35" applyFont="1" applyFill="1" applyBorder="1" applyAlignment="1">
      <alignment horizontal="left" vertical="center" wrapText="1"/>
    </xf>
    <xf numFmtId="0" fontId="9" fillId="4" borderId="10" xfId="35" applyFont="1" applyFill="1" applyBorder="1" applyAlignment="1">
      <alignment horizontal="left" vertical="center" wrapText="1"/>
    </xf>
    <xf numFmtId="0" fontId="8" fillId="0" borderId="10" xfId="71" applyFont="1" applyBorder="1" applyAlignment="1">
      <alignment horizontal="left" vertical="center" wrapText="1"/>
    </xf>
    <xf numFmtId="0" fontId="8" fillId="0" borderId="6" xfId="71" applyFont="1" applyBorder="1" applyAlignment="1">
      <alignment horizontal="left" vertical="center" wrapText="1"/>
    </xf>
    <xf numFmtId="0" fontId="9" fillId="4" borderId="6" xfId="35" applyFont="1" applyFill="1" applyBorder="1" applyAlignment="1">
      <alignment horizontal="left" vertical="center" wrapText="1"/>
    </xf>
    <xf numFmtId="0" fontId="9" fillId="4" borderId="5" xfId="35" applyFont="1" applyFill="1" applyBorder="1" applyAlignment="1">
      <alignment horizontal="center" vertical="center"/>
    </xf>
    <xf numFmtId="0" fontId="9" fillId="4" borderId="3" xfId="35" applyFont="1" applyFill="1" applyBorder="1" applyAlignment="1">
      <alignment horizontal="center" vertical="center"/>
    </xf>
    <xf numFmtId="0" fontId="9" fillId="4" borderId="8" xfId="35" applyFont="1" applyFill="1" applyBorder="1" applyAlignment="1">
      <alignment horizontal="center" vertical="center"/>
    </xf>
    <xf numFmtId="2" fontId="9" fillId="4" borderId="7" xfId="35" applyNumberFormat="1" applyFont="1" applyFill="1" applyBorder="1" applyAlignment="1">
      <alignment horizontal="center" vertical="top"/>
    </xf>
    <xf numFmtId="2" fontId="9" fillId="4" borderId="10" xfId="35" applyNumberFormat="1" applyFont="1" applyFill="1" applyBorder="1" applyAlignment="1">
      <alignment horizontal="center" vertical="top"/>
    </xf>
    <xf numFmtId="2" fontId="9" fillId="4" borderId="6" xfId="35" applyNumberFormat="1" applyFont="1" applyFill="1" applyBorder="1" applyAlignment="1">
      <alignment horizontal="center" vertical="top"/>
    </xf>
    <xf numFmtId="0" fontId="9" fillId="4" borderId="7" xfId="35" applyFont="1" applyFill="1" applyBorder="1" applyAlignment="1">
      <alignment horizontal="center" vertical="top" wrapText="1"/>
    </xf>
    <xf numFmtId="0" fontId="9" fillId="4" borderId="10" xfId="35" applyFont="1" applyFill="1" applyBorder="1" applyAlignment="1">
      <alignment horizontal="center" vertical="top" wrapText="1"/>
    </xf>
    <xf numFmtId="0" fontId="9" fillId="4" borderId="6" xfId="35" applyFont="1" applyFill="1" applyBorder="1" applyAlignment="1">
      <alignment horizontal="center" vertical="top" wrapText="1"/>
    </xf>
    <xf numFmtId="0" fontId="9" fillId="4" borderId="4" xfId="35" applyFont="1" applyFill="1" applyBorder="1" applyAlignment="1">
      <alignment horizontal="center" vertical="center" wrapText="1"/>
    </xf>
    <xf numFmtId="0" fontId="8" fillId="0" borderId="9" xfId="71" applyFont="1" applyBorder="1" applyAlignment="1">
      <alignment horizontal="center" vertical="center" wrapText="1"/>
    </xf>
    <xf numFmtId="0" fontId="8" fillId="0" borderId="11" xfId="71" applyFont="1" applyBorder="1" applyAlignment="1">
      <alignment horizontal="center" vertical="center" wrapText="1"/>
    </xf>
    <xf numFmtId="0" fontId="8" fillId="0" borderId="27" xfId="71" applyFont="1" applyBorder="1" applyAlignment="1">
      <alignment horizontal="center" vertical="center" wrapText="1"/>
    </xf>
    <xf numFmtId="0" fontId="8" fillId="0" borderId="12" xfId="71" applyFont="1" applyBorder="1" applyAlignment="1">
      <alignment horizontal="center" vertical="center" wrapText="1"/>
    </xf>
    <xf numFmtId="0" fontId="8" fillId="0" borderId="0" xfId="71" applyFont="1" applyBorder="1" applyAlignment="1">
      <alignment horizontal="center" vertical="center" wrapText="1"/>
    </xf>
    <xf numFmtId="0" fontId="8" fillId="0" borderId="28" xfId="71" applyFont="1" applyBorder="1" applyAlignment="1">
      <alignment horizontal="center" vertical="center" wrapText="1"/>
    </xf>
    <xf numFmtId="0" fontId="8" fillId="0" borderId="23" xfId="71" applyFont="1" applyBorder="1" applyAlignment="1">
      <alignment horizontal="center" vertical="center" wrapText="1"/>
    </xf>
    <xf numFmtId="0" fontId="8" fillId="0" borderId="24" xfId="71" applyFont="1" applyBorder="1" applyAlignment="1">
      <alignment horizontal="center" vertical="center" wrapText="1"/>
    </xf>
    <xf numFmtId="0" fontId="8" fillId="0" borderId="29" xfId="71" applyFont="1" applyBorder="1" applyAlignment="1">
      <alignment horizontal="center" vertical="center" wrapText="1"/>
    </xf>
    <xf numFmtId="0" fontId="9" fillId="0" borderId="9"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2"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9" fillId="4" borderId="5" xfId="10" applyFont="1" applyFill="1" applyBorder="1" applyAlignment="1">
      <alignment horizontal="center" vertical="top" wrapText="1"/>
    </xf>
    <xf numFmtId="0" fontId="9" fillId="4" borderId="3" xfId="10" applyFont="1" applyFill="1" applyBorder="1" applyAlignment="1">
      <alignment horizontal="center" vertical="top" wrapText="1"/>
    </xf>
    <xf numFmtId="0" fontId="9" fillId="4" borderId="8" xfId="10" applyFont="1" applyFill="1" applyBorder="1" applyAlignment="1">
      <alignment horizontal="center" vertical="top" wrapText="1"/>
    </xf>
    <xf numFmtId="0" fontId="8" fillId="0" borderId="0" xfId="10" applyFont="1" applyAlignment="1">
      <alignment horizontal="left" wrapText="1"/>
    </xf>
    <xf numFmtId="0" fontId="9" fillId="0" borderId="0" xfId="10" applyFont="1" applyAlignment="1">
      <alignment horizontal="center" vertical="center"/>
    </xf>
    <xf numFmtId="0" fontId="9" fillId="0" borderId="0" xfId="71" applyFont="1" applyAlignment="1">
      <alignment horizontal="center" vertical="center"/>
    </xf>
    <xf numFmtId="0" fontId="9" fillId="0" borderId="7" xfId="10" quotePrefix="1" applyFont="1" applyBorder="1" applyAlignment="1">
      <alignment horizontal="center" vertical="center"/>
    </xf>
    <xf numFmtId="0" fontId="9" fillId="0" borderId="10" xfId="10" quotePrefix="1" applyFont="1" applyBorder="1" applyAlignment="1">
      <alignment horizontal="center" vertical="center"/>
    </xf>
    <xf numFmtId="0" fontId="9" fillId="0" borderId="6" xfId="10" quotePrefix="1" applyFont="1" applyBorder="1" applyAlignment="1">
      <alignment horizontal="center" vertical="center"/>
    </xf>
    <xf numFmtId="0" fontId="9" fillId="4" borderId="5" xfId="35" applyFont="1" applyFill="1" applyBorder="1" applyAlignment="1">
      <alignment horizontal="center" vertical="top" wrapText="1"/>
    </xf>
    <xf numFmtId="0" fontId="9" fillId="4" borderId="8" xfId="35" applyFont="1" applyFill="1" applyBorder="1" applyAlignment="1">
      <alignment horizontal="center" vertical="top" wrapText="1"/>
    </xf>
    <xf numFmtId="0" fontId="8" fillId="0" borderId="9" xfId="35" applyFont="1" applyBorder="1" applyAlignment="1">
      <alignment horizontal="center" vertical="center"/>
    </xf>
    <xf numFmtId="0" fontId="8" fillId="0" borderId="11" xfId="35" applyFont="1" applyBorder="1" applyAlignment="1">
      <alignment horizontal="center" vertical="center"/>
    </xf>
    <xf numFmtId="0" fontId="8" fillId="0" borderId="13" xfId="35" applyFont="1" applyBorder="1" applyAlignment="1">
      <alignment horizontal="center" vertical="center"/>
    </xf>
    <xf numFmtId="0" fontId="8" fillId="0" borderId="12" xfId="35" applyFont="1" applyBorder="1" applyAlignment="1">
      <alignment horizontal="center" vertical="center"/>
    </xf>
    <xf numFmtId="0" fontId="8" fillId="0" borderId="0" xfId="35" applyFont="1" applyBorder="1" applyAlignment="1">
      <alignment horizontal="center" vertical="center"/>
    </xf>
    <xf numFmtId="0" fontId="8" fillId="0" borderId="14" xfId="35" applyFont="1" applyBorder="1" applyAlignment="1">
      <alignment horizontal="center" vertical="center"/>
    </xf>
    <xf numFmtId="0" fontId="8" fillId="0" borderId="23" xfId="35" applyFont="1" applyBorder="1" applyAlignment="1">
      <alignment horizontal="center" vertical="center"/>
    </xf>
    <xf numFmtId="0" fontId="8" fillId="0" borderId="24" xfId="35" applyFont="1" applyBorder="1" applyAlignment="1">
      <alignment horizontal="center" vertical="center"/>
    </xf>
    <xf numFmtId="0" fontId="8" fillId="0" borderId="25" xfId="35" applyFont="1" applyBorder="1" applyAlignment="1">
      <alignment horizontal="center" vertical="center"/>
    </xf>
    <xf numFmtId="0" fontId="9" fillId="7" borderId="7" xfId="71" applyFont="1" applyFill="1" applyBorder="1" applyAlignment="1">
      <alignment horizontal="center" vertical="top" wrapText="1"/>
    </xf>
    <xf numFmtId="0" fontId="9" fillId="7" borderId="10" xfId="71" applyFont="1" applyFill="1" applyBorder="1" applyAlignment="1">
      <alignment horizontal="center" vertical="top" wrapText="1"/>
    </xf>
    <xf numFmtId="0" fontId="9" fillId="7" borderId="6" xfId="71" applyFont="1" applyFill="1" applyBorder="1" applyAlignment="1">
      <alignment horizontal="center" vertical="top" wrapText="1"/>
    </xf>
    <xf numFmtId="0" fontId="9" fillId="7" borderId="4" xfId="71" applyFont="1" applyFill="1" applyBorder="1" applyAlignment="1">
      <alignment horizontal="center"/>
    </xf>
    <xf numFmtId="0" fontId="9" fillId="6" borderId="0" xfId="10" applyFont="1" applyFill="1" applyAlignment="1">
      <alignment horizontal="center" vertical="center"/>
    </xf>
    <xf numFmtId="0" fontId="40" fillId="12" borderId="7" xfId="78" applyFont="1" applyFill="1" applyBorder="1" applyAlignment="1">
      <alignment horizontal="center" vertical="center"/>
    </xf>
    <xf numFmtId="0" fontId="40" fillId="12" borderId="6" xfId="78" applyFont="1" applyFill="1" applyBorder="1" applyAlignment="1">
      <alignment horizontal="center" vertical="center"/>
    </xf>
    <xf numFmtId="0" fontId="40" fillId="12" borderId="7" xfId="78" applyFont="1" applyFill="1" applyBorder="1" applyAlignment="1">
      <alignment horizontal="center" vertical="center" wrapText="1"/>
    </xf>
    <xf numFmtId="0" fontId="40" fillId="12" borderId="6" xfId="78" applyFont="1" applyFill="1" applyBorder="1" applyAlignment="1">
      <alignment horizontal="center" vertical="center" wrapText="1"/>
    </xf>
    <xf numFmtId="0" fontId="42" fillId="12" borderId="5" xfId="78" applyFont="1" applyFill="1" applyBorder="1" applyAlignment="1">
      <alignment horizontal="center"/>
    </xf>
    <xf numFmtId="0" fontId="42" fillId="12" borderId="3" xfId="78" applyFont="1" applyFill="1" applyBorder="1" applyAlignment="1">
      <alignment horizontal="center"/>
    </xf>
    <xf numFmtId="0" fontId="42" fillId="12" borderId="8" xfId="78" applyFont="1" applyFill="1" applyBorder="1" applyAlignment="1">
      <alignment horizont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8" fillId="0" borderId="7"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1" fillId="0" borderId="0" xfId="14" applyFont="1" applyAlignment="1">
      <alignment horizontal="left" vertical="center"/>
    </xf>
    <xf numFmtId="0" fontId="9" fillId="7" borderId="7" xfId="68" applyFont="1" applyFill="1" applyBorder="1" applyAlignment="1">
      <alignment horizontal="center" vertical="center"/>
    </xf>
    <xf numFmtId="0" fontId="9" fillId="7" borderId="6" xfId="68" applyFont="1" applyFill="1" applyBorder="1" applyAlignment="1">
      <alignment horizontal="center" vertical="center"/>
    </xf>
    <xf numFmtId="0" fontId="9" fillId="7" borderId="5" xfId="31" applyFont="1" applyFill="1" applyBorder="1" applyAlignment="1">
      <alignment horizontal="center" vertical="center" wrapText="1"/>
    </xf>
    <xf numFmtId="0" fontId="9" fillId="7" borderId="3" xfId="31" applyFont="1" applyFill="1" applyBorder="1" applyAlignment="1">
      <alignment horizontal="center" vertical="center" wrapText="1"/>
    </xf>
    <xf numFmtId="0" fontId="9" fillId="7" borderId="8" xfId="31" applyFont="1" applyFill="1" applyBorder="1" applyAlignment="1">
      <alignment horizontal="center" vertical="center" wrapText="1"/>
    </xf>
    <xf numFmtId="0" fontId="9"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9"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9" fillId="4" borderId="10" xfId="10" applyFont="1" applyFill="1" applyBorder="1" applyAlignment="1">
      <alignment horizontal="center" vertical="center"/>
    </xf>
  </cellXfs>
  <cellStyles count="96">
    <cellStyle name="Body" xfId="1" xr:uid="{00000000-0005-0000-0000-000000000000}"/>
    <cellStyle name="Comma" xfId="69" builtinId="3"/>
    <cellStyle name="Comma  - Style1" xfId="2" xr:uid="{00000000-0005-0000-0000-000002000000}"/>
    <cellStyle name="Comma 10" xfId="73" xr:uid="{00000000-0005-0000-0000-000003000000}"/>
    <cellStyle name="Comma 10 25 2" xfId="77" xr:uid="{00000000-0005-0000-0000-000004000000}"/>
    <cellStyle name="Comma 11" xfId="85" xr:uid="{00000000-0005-0000-0000-000005000000}"/>
    <cellStyle name="Comma 11 2" xfId="20" xr:uid="{00000000-0005-0000-0000-000006000000}"/>
    <cellStyle name="Comma 11 2 2" xfId="95" xr:uid="{00000000-0005-0000-0000-000007000000}"/>
    <cellStyle name="Comma 2" xfId="25" xr:uid="{00000000-0005-0000-0000-000008000000}"/>
    <cellStyle name="Comma 2 2" xfId="26" xr:uid="{00000000-0005-0000-0000-000009000000}"/>
    <cellStyle name="Comma 2 2 2" xfId="64" xr:uid="{00000000-0005-0000-0000-00000A000000}"/>
    <cellStyle name="Comma 2 3" xfId="27" xr:uid="{00000000-0005-0000-0000-00000B000000}"/>
    <cellStyle name="Comma 2 4" xfId="57" xr:uid="{00000000-0005-0000-0000-00000C000000}"/>
    <cellStyle name="Comma 2 5" xfId="86" xr:uid="{00000000-0005-0000-0000-00000D000000}"/>
    <cellStyle name="Comma 2 6" xfId="93" xr:uid="{00000000-0005-0000-0000-00000E000000}"/>
    <cellStyle name="Comma 3" xfId="28" xr:uid="{00000000-0005-0000-0000-00000F000000}"/>
    <cellStyle name="Comma 3 2" xfId="63" xr:uid="{00000000-0005-0000-0000-000010000000}"/>
    <cellStyle name="Comma 3 2 3" xfId="79" xr:uid="{00000000-0005-0000-0000-000011000000}"/>
    <cellStyle name="Comma 4" xfId="29" xr:uid="{00000000-0005-0000-0000-000012000000}"/>
    <cellStyle name="Comma 4 2" xfId="65" xr:uid="{00000000-0005-0000-0000-000013000000}"/>
    <cellStyle name="Comma 4 2 3" xfId="80" xr:uid="{00000000-0005-0000-0000-000014000000}"/>
    <cellStyle name="Comma 5" xfId="30" xr:uid="{00000000-0005-0000-0000-000015000000}"/>
    <cellStyle name="Comma 6" xfId="49" xr:uid="{00000000-0005-0000-0000-000016000000}"/>
    <cellStyle name="Comma 6 2" xfId="50" xr:uid="{00000000-0005-0000-0000-000017000000}"/>
    <cellStyle name="Comma 6 3" xfId="51" xr:uid="{00000000-0005-0000-0000-000018000000}"/>
    <cellStyle name="Comma 6 4" xfId="52" xr:uid="{00000000-0005-0000-0000-000019000000}"/>
    <cellStyle name="Comma 6 5" xfId="83" xr:uid="{00000000-0005-0000-0000-00001A000000}"/>
    <cellStyle name="Comma 7" xfId="22" xr:uid="{00000000-0005-0000-0000-00001B000000}"/>
    <cellStyle name="Comma 8" xfId="66" xr:uid="{00000000-0005-0000-0000-00001C000000}"/>
    <cellStyle name="Comma 8 3" xfId="81" xr:uid="{00000000-0005-0000-0000-00001D000000}"/>
    <cellStyle name="Comma 9" xfId="72" xr:uid="{00000000-0005-0000-0000-00001E000000}"/>
    <cellStyle name="Comma 9 2" xfId="91" xr:uid="{00000000-0005-0000-0000-00001F000000}"/>
    <cellStyle name="Curren - Style2" xfId="3" xr:uid="{00000000-0005-0000-0000-000020000000}"/>
    <cellStyle name="Grey" xfId="4" xr:uid="{00000000-0005-0000-0000-000021000000}"/>
    <cellStyle name="Header1" xfId="5" xr:uid="{00000000-0005-0000-0000-000022000000}"/>
    <cellStyle name="Header2" xfId="6" xr:uid="{00000000-0005-0000-0000-000023000000}"/>
    <cellStyle name="Input [yellow]" xfId="7" xr:uid="{00000000-0005-0000-0000-000024000000}"/>
    <cellStyle name="no dec" xfId="8" xr:uid="{00000000-0005-0000-0000-000025000000}"/>
    <cellStyle name="Normal" xfId="0" builtinId="0"/>
    <cellStyle name="Normal - Style1" xfId="9" xr:uid="{00000000-0005-0000-0000-000027000000}"/>
    <cellStyle name="Normal 10" xfId="74" xr:uid="{00000000-0005-0000-0000-000028000000}"/>
    <cellStyle name="Normal 10 2" xfId="75" xr:uid="{00000000-0005-0000-0000-000029000000}"/>
    <cellStyle name="Normal 10 2 2" xfId="88" xr:uid="{00000000-0005-0000-0000-00002A000000}"/>
    <cellStyle name="Normal 11" xfId="87" xr:uid="{00000000-0005-0000-0000-00002B000000}"/>
    <cellStyle name="Normal 142" xfId="71" xr:uid="{00000000-0005-0000-0000-00002C000000}"/>
    <cellStyle name="Normal 15" xfId="19" xr:uid="{00000000-0005-0000-0000-00002D000000}"/>
    <cellStyle name="Normal 15 2" xfId="94" xr:uid="{00000000-0005-0000-0000-00002E000000}"/>
    <cellStyle name="Normal 18" xfId="62" xr:uid="{00000000-0005-0000-0000-00002F000000}"/>
    <cellStyle name="Normal 18 3" xfId="78" xr:uid="{00000000-0005-0000-0000-000030000000}"/>
    <cellStyle name="Normal 2" xfId="10" xr:uid="{00000000-0005-0000-0000-000031000000}"/>
    <cellStyle name="Normal 2 2" xfId="11" xr:uid="{00000000-0005-0000-0000-000032000000}"/>
    <cellStyle name="Normal 2 2 2" xfId="31" xr:uid="{00000000-0005-0000-0000-000033000000}"/>
    <cellStyle name="Normal 2 2 2 2" xfId="58" xr:uid="{00000000-0005-0000-0000-000034000000}"/>
    <cellStyle name="Normal 2 2_Working APR 2007-08 Mahagenco_Bhushan_1.3" xfId="32" xr:uid="{00000000-0005-0000-0000-000035000000}"/>
    <cellStyle name="Normal 2 3" xfId="12" xr:uid="{00000000-0005-0000-0000-000036000000}"/>
    <cellStyle name="Normal 2 4" xfId="53" xr:uid="{00000000-0005-0000-0000-000037000000}"/>
    <cellStyle name="Normal 2 5" xfId="90" xr:uid="{00000000-0005-0000-0000-000038000000}"/>
    <cellStyle name="Normal 2_ARR FINAL" xfId="33" xr:uid="{00000000-0005-0000-0000-000039000000}"/>
    <cellStyle name="Normal 3" xfId="13" xr:uid="{00000000-0005-0000-0000-00003A000000}"/>
    <cellStyle name="Normal 3 2" xfId="34" xr:uid="{00000000-0005-0000-0000-00003B000000}"/>
    <cellStyle name="Normal 3 2 2" xfId="59" xr:uid="{00000000-0005-0000-0000-00003C000000}"/>
    <cellStyle name="Normal 39" xfId="23" xr:uid="{00000000-0005-0000-0000-00003D000000}"/>
    <cellStyle name="Normal 4" xfId="35" xr:uid="{00000000-0005-0000-0000-00003E000000}"/>
    <cellStyle name="Normal 4 2" xfId="60" xr:uid="{00000000-0005-0000-0000-00003F000000}"/>
    <cellStyle name="Normal 5" xfId="36" xr:uid="{00000000-0005-0000-0000-000040000000}"/>
    <cellStyle name="Normal 5 2" xfId="37" xr:uid="{00000000-0005-0000-0000-000041000000}"/>
    <cellStyle name="Normal 6" xfId="38" xr:uid="{00000000-0005-0000-0000-000042000000}"/>
    <cellStyle name="Normal 7" xfId="39" xr:uid="{00000000-0005-0000-0000-000043000000}"/>
    <cellStyle name="Normal 8" xfId="54" xr:uid="{00000000-0005-0000-0000-000044000000}"/>
    <cellStyle name="Normal 9" xfId="55" xr:uid="{00000000-0005-0000-0000-000045000000}"/>
    <cellStyle name="Normal_FORMATS 5 YEAR ALOKE 2" xfId="14" xr:uid="{00000000-0005-0000-0000-000046000000}"/>
    <cellStyle name="Normal_FORMATS 5 YEAR ALOKE 2 2" xfId="68" xr:uid="{00000000-0005-0000-0000-000047000000}"/>
    <cellStyle name="Normal_FORMATS 5 YEAR ALOKE 3 2" xfId="15" xr:uid="{00000000-0005-0000-0000-000048000000}"/>
    <cellStyle name="Normal_FORMATS 5 YEAR ALOKE 4" xfId="82" xr:uid="{00000000-0005-0000-0000-000049000000}"/>
    <cellStyle name="Normal_Sheet1" xfId="84" xr:uid="{00000000-0005-0000-0000-00004A000000}"/>
    <cellStyle name="Percent" xfId="70" builtinId="5"/>
    <cellStyle name="Percent [0]_#6 Temps &amp; Contractors" xfId="16" xr:uid="{00000000-0005-0000-0000-00004C000000}"/>
    <cellStyle name="Percent [2]" xfId="17" xr:uid="{00000000-0005-0000-0000-00004D000000}"/>
    <cellStyle name="Percent 2" xfId="40" xr:uid="{00000000-0005-0000-0000-00004E000000}"/>
    <cellStyle name="Percent 2 2" xfId="41" xr:uid="{00000000-0005-0000-0000-00004F000000}"/>
    <cellStyle name="Percent 2 3" xfId="61" xr:uid="{00000000-0005-0000-0000-000050000000}"/>
    <cellStyle name="Percent 3" xfId="42" xr:uid="{00000000-0005-0000-0000-000051000000}"/>
    <cellStyle name="Percent 3 2" xfId="43" xr:uid="{00000000-0005-0000-0000-000052000000}"/>
    <cellStyle name="Percent 4" xfId="24" xr:uid="{00000000-0005-0000-0000-000053000000}"/>
    <cellStyle name="Percent 41" xfId="21" xr:uid="{00000000-0005-0000-0000-000054000000}"/>
    <cellStyle name="Percent 5" xfId="44" xr:uid="{00000000-0005-0000-0000-000055000000}"/>
    <cellStyle name="Percent 5 2" xfId="45" xr:uid="{00000000-0005-0000-0000-000056000000}"/>
    <cellStyle name="Percent 5 3" xfId="46" xr:uid="{00000000-0005-0000-0000-000057000000}"/>
    <cellStyle name="Percent 6" xfId="47" xr:uid="{00000000-0005-0000-0000-000058000000}"/>
    <cellStyle name="Percent 6 2" xfId="48" xr:uid="{00000000-0005-0000-0000-000059000000}"/>
    <cellStyle name="Percent 7" xfId="67" xr:uid="{00000000-0005-0000-0000-00005A000000}"/>
    <cellStyle name="Percent 8" xfId="76" xr:uid="{00000000-0005-0000-0000-00005B000000}"/>
    <cellStyle name="Percent 8 2" xfId="92" xr:uid="{00000000-0005-0000-0000-00005C000000}"/>
    <cellStyle name="Percent 9" xfId="89" xr:uid="{00000000-0005-0000-0000-00005D000000}"/>
    <cellStyle name="Style 1" xfId="18" xr:uid="{00000000-0005-0000-0000-00005E000000}"/>
    <cellStyle name="Style 2" xfId="56" xr:uid="{00000000-0005-0000-0000-00005F000000}"/>
  </cellStyles>
  <dxfs count="427">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B0F0"/>
      </font>
    </dxf>
    <dxf>
      <font>
        <color rgb="FF9C6500"/>
      </font>
      <fill>
        <patternFill patternType="solid">
          <bgColor rgb="FFFFEB9C"/>
        </patternFill>
      </fill>
    </dxf>
    <dxf>
      <font>
        <color rgb="FF00B050"/>
      </font>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A6A6A6"/>
        </patternFill>
      </fill>
    </dxf>
    <dxf>
      <font>
        <b val="0"/>
        <i/>
        <color rgb="FFFF0000"/>
      </font>
      <fill>
        <patternFill patternType="none"/>
      </fill>
    </dxf>
    <dxf>
      <font>
        <color rgb="FF00B0F0"/>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b val="0"/>
        <i/>
        <color rgb="FFFF0000"/>
      </font>
      <fill>
        <patternFill patternType="none">
          <bgColor auto="1"/>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externalLink" Target="externalLinks/externalLink1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sheetData sheetId="6"/>
      <sheetData sheetId="7"/>
      <sheetData sheetId="8"/>
      <sheetData sheetId="9"/>
      <sheetData sheetId="10"/>
      <sheetData sheetId="1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t="str">
            <v xml:space="preserve">ESTIMATE FOR INSTALLATION OF ADDITIONAL 1X40MVA 132/33KV TRANSFORMER AT EXISTING EHV SUBSTATION </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ow r="38">
          <cell r="A38" t="str">
            <v xml:space="preserve">ESTIMATE FOR INSTALLATION OF ADDITIONAL 1X40MVA 132/33KV TRANSFORMER AT EXISTING EHV SUBSTATION </v>
          </cell>
        </row>
      </sheetData>
      <sheetData sheetId="50">
        <row r="38">
          <cell r="A38" t="str">
            <v xml:space="preserve">ESTIMATE FOR INSTALLATION OF ADDITIONAL 1X40MVA 132/33KV TRANSFORMER AT EXISTING EHV SUBSTATION </v>
          </cell>
        </row>
      </sheetData>
      <sheetData sheetId="51">
        <row r="38">
          <cell r="A38" t="str">
            <v xml:space="preserve">ESTIMATE FOR INSTALLATION OF ADDITIONAL 1X40MVA 132/33KV TRANSFORMER AT EXISTING EHV SUBSTATION </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v>0</v>
          </cell>
        </row>
      </sheetData>
      <sheetData sheetId="68">
        <row r="38">
          <cell r="A38" t="str">
            <v xml:space="preserve">ESTIMATE FOR INSTALLATION OF ADDITIONAL 1X40MVA 132/33KV TRANSFORMER AT EXISTING EHV SUBSTATION </v>
          </cell>
        </row>
      </sheetData>
      <sheetData sheetId="69">
        <row r="38">
          <cell r="A38" t="str">
            <v xml:space="preserve">ESTIMATE FOR INSTALLATION OF ADDITIONAL 1X40MVA 132/33KV TRANSFORMER AT EXISTING EHV SUBSTATION </v>
          </cell>
        </row>
      </sheetData>
      <sheetData sheetId="70">
        <row r="38">
          <cell r="A38" t="str">
            <v xml:space="preserve">ESTIMATE FOR INSTALLATION OF ADDITIONAL 1X40MVA 132/33KV TRANSFORMER AT EXISTING EHV SUBSTATION </v>
          </cell>
        </row>
      </sheetData>
      <sheetData sheetId="71">
        <row r="38">
          <cell r="A38" t="str">
            <v xml:space="preserve">ESTIMATE FOR INSTALLATION OF ADDITIONAL 1X40MVA 132/33KV TRANSFORMER AT EXISTING EHV SUBSTATION </v>
          </cell>
        </row>
      </sheetData>
      <sheetData sheetId="72">
        <row r="38">
          <cell r="A38" t="str">
            <v xml:space="preserve">ESTIMATE FOR INSTALLATION OF ADDITIONAL 1X40MVA 132/33KV TRANSFORMER AT EXISTING EHV SUBSTATION </v>
          </cell>
        </row>
      </sheetData>
      <sheetData sheetId="73">
        <row r="38">
          <cell r="A38" t="str">
            <v xml:space="preserve">ESTIMATE FOR INSTALLATION OF ADDITIONAL 1X40MVA 132/33KV TRANSFORMER AT EXISTING EHV SUBSTATION </v>
          </cell>
        </row>
      </sheetData>
      <sheetData sheetId="74">
        <row r="38">
          <cell r="A38" t="str">
            <v xml:space="preserve">ESTIMATE FOR INSTALLATION OF ADDITIONAL 1X40MVA 132/33KV TRANSFORMER AT EXISTING EHV SUBSTATION </v>
          </cell>
        </row>
      </sheetData>
      <sheetData sheetId="75">
        <row r="38">
          <cell r="A38" t="str">
            <v xml:space="preserve">ESTIMATE FOR INSTALLATION OF ADDITIONAL 1X40MVA 132/33KV TRANSFORMER AT EXISTING EHV SUBSTATION </v>
          </cell>
        </row>
      </sheetData>
      <sheetData sheetId="76">
        <row r="38">
          <cell r="A38" t="str">
            <v xml:space="preserve">ESTIMATE FOR INSTALLATION OF ADDITIONAL 1X40MVA 132/33KV TRANSFORMER AT EXISTING EHV SUBSTATION </v>
          </cell>
        </row>
      </sheetData>
      <sheetData sheetId="77">
        <row r="38">
          <cell r="A38" t="str">
            <v xml:space="preserve">ESTIMATE FOR INSTALLATION OF ADDITIONAL 1X40MVA 132/33KV TRANSFORMER AT EXISTING EHV SUBSTATION </v>
          </cell>
        </row>
      </sheetData>
      <sheetData sheetId="78">
        <row r="38">
          <cell r="A38" t="str">
            <v xml:space="preserve">ESTIMATE FOR INSTALLATION OF ADDITIONAL 1X40MVA 132/33KV TRANSFORMER AT EXISTING EHV SUBSTATION </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v>0</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t="str">
            <v xml:space="preserve">ESTIMATE FOR INSTALLATION OF ADDITIONAL 1X40MVA 132/33KV TRANSFORMER AT EXISTING EHV SUBSTATION </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t="str">
            <v xml:space="preserve">ESTIMATE FOR INSTALLATION OF ADDITIONAL 1X40MVA 132/33KV TRANSFORMER AT EXISTING EHV SUBSTATION </v>
          </cell>
        </row>
      </sheetData>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38">
          <cell r="A38" t="str">
            <v xml:space="preserve">ESTIMATE FOR INSTALLATION OF ADDITIONAL 1X40MVA 132/33KV TRANSFORMER AT EXISTING EHV SUBSTATION </v>
          </cell>
        </row>
      </sheetData>
      <sheetData sheetId="132">
        <row r="38">
          <cell r="A38" t="str">
            <v xml:space="preserve">ESTIMATE FOR INSTALLATION OF ADDITIONAL 1X40MVA 132/33KV TRANSFORMER AT EXISTING EHV SUBSTATION </v>
          </cell>
        </row>
      </sheetData>
      <sheetData sheetId="133">
        <row r="38">
          <cell r="A38" t="str">
            <v xml:space="preserve">ESTIMATE FOR INSTALLATION OF ADDITIONAL 1X40MVA 132/33KV TRANSFORMER AT EXISTING EHV SUBSTATION </v>
          </cell>
        </row>
      </sheetData>
      <sheetData sheetId="134">
        <row r="38">
          <cell r="A38" t="str">
            <v xml:space="preserve">ESTIMATE FOR INSTALLATION OF ADDITIONAL 1X40MVA 132/33KV TRANSFORMER AT EXISTING EHV SUBSTATION </v>
          </cell>
        </row>
      </sheetData>
      <sheetData sheetId="135">
        <row r="38">
          <cell r="A38" t="str">
            <v xml:space="preserve">ESTIMATE FOR INSTALLATION OF ADDITIONAL 1X40MVA 132/33KV TRANSFORMER AT EXISTING EHV SUBSTATION </v>
          </cell>
        </row>
      </sheetData>
      <sheetData sheetId="136">
        <row r="38">
          <cell r="A38" t="str">
            <v xml:space="preserve">ESTIMATE FOR INSTALLATION OF ADDITIONAL 1X40MVA 132/33KV TRANSFORMER AT EXISTING EHV SUBSTATION </v>
          </cell>
        </row>
      </sheetData>
      <sheetData sheetId="137">
        <row r="38">
          <cell r="A38" t="str">
            <v xml:space="preserve">ESTIMATE FOR INSTALLATION OF ADDITIONAL 1X40MVA 132/33KV TRANSFORMER AT EXISTING EHV SUBSTATION </v>
          </cell>
        </row>
      </sheetData>
      <sheetData sheetId="138">
        <row r="38">
          <cell r="A38" t="str">
            <v xml:space="preserve">ESTIMATE FOR INSTALLATION OF ADDITIONAL 1X40MVA 132/33KV TRANSFORMER AT EXISTING EHV SUBSTATION </v>
          </cell>
        </row>
      </sheetData>
      <sheetData sheetId="139">
        <row r="38">
          <cell r="A38" t="str">
            <v xml:space="preserve">ESTIMATE FOR INSTALLATION OF ADDITIONAL 1X40MVA 132/33KV TRANSFORMER AT EXISTING EHV SUBSTATION </v>
          </cell>
        </row>
      </sheetData>
      <sheetData sheetId="140">
        <row r="38">
          <cell r="A38" t="str">
            <v xml:space="preserve">ESTIMATE FOR INSTALLATION OF ADDITIONAL 1X40MVA 132/33KV TRANSFORMER AT EXISTING EHV SUBSTATION </v>
          </cell>
        </row>
      </sheetData>
      <sheetData sheetId="141">
        <row r="38">
          <cell r="A38" t="str">
            <v xml:space="preserve">ESTIMATE FOR INSTALLATION OF ADDITIONAL 1X40MVA 132/33KV TRANSFORMER AT EXISTING EHV SUBSTATION </v>
          </cell>
        </row>
      </sheetData>
      <sheetData sheetId="142">
        <row r="38">
          <cell r="A38" t="str">
            <v xml:space="preserve">ESTIMATE FOR INSTALLATION OF ADDITIONAL 1X40MVA 132/33KV TRANSFORMER AT EXISTING EHV SUBSTATION </v>
          </cell>
        </row>
      </sheetData>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ow r="38">
          <cell r="A38" t="str">
            <v xml:space="preserve">ESTIMATE FOR INSTALLATION OF ADDITIONAL 1X40MVA 132/33KV TRANSFORMER AT EXISTING EHV SUBSTATION </v>
          </cell>
        </row>
      </sheetData>
      <sheetData sheetId="154">
        <row r="38">
          <cell r="A38">
            <v>0</v>
          </cell>
        </row>
      </sheetData>
      <sheetData sheetId="155">
        <row r="38">
          <cell r="A38" t="str">
            <v xml:space="preserve">ESTIMATE FOR INSTALLATION OF ADDITIONAL 1X40MVA 132/33KV TRANSFORMER AT EXISTING EHV SUBSTATION </v>
          </cell>
        </row>
      </sheetData>
      <sheetData sheetId="156">
        <row r="38">
          <cell r="A38">
            <v>0</v>
          </cell>
        </row>
      </sheetData>
      <sheetData sheetId="157">
        <row r="38">
          <cell r="A38" t="str">
            <v xml:space="preserve">ESTIMATE FOR INSTALLATION OF ADDITIONAL 1X40MVA 132/33KV TRANSFORMER AT EXISTING EHV SUBSTATION </v>
          </cell>
        </row>
      </sheetData>
      <sheetData sheetId="158">
        <row r="38">
          <cell r="A38">
            <v>0</v>
          </cell>
        </row>
      </sheetData>
      <sheetData sheetId="159">
        <row r="38">
          <cell r="A38" t="str">
            <v xml:space="preserve">ESTIMATE FOR INSTALLATION OF ADDITIONAL 1X40MVA 132/33KV TRANSFORMER AT EXISTING EHV SUBSTATION </v>
          </cell>
        </row>
      </sheetData>
      <sheetData sheetId="160">
        <row r="38">
          <cell r="A38" t="str">
            <v xml:space="preserve">ESTIMATE FOR INSTALLATION OF ADDITIONAL 1X40MVA 132/33KV TRANSFORMER AT EXISTING EHV SUBSTATION </v>
          </cell>
        </row>
      </sheetData>
      <sheetData sheetId="161">
        <row r="38">
          <cell r="A38" t="str">
            <v xml:space="preserve">ESTIMATE FOR INSTALLATION OF ADDITIONAL 1X40MVA 132/33KV TRANSFORMER AT EXISTING EHV SUBSTATION </v>
          </cell>
        </row>
      </sheetData>
      <sheetData sheetId="162">
        <row r="38">
          <cell r="A38" t="str">
            <v xml:space="preserve">ESTIMATE FOR INSTALLATION OF ADDITIONAL 1X40MVA 132/33KV TRANSFORMER AT EXISTING EHV SUBSTATION </v>
          </cell>
        </row>
      </sheetData>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ow r="1">
          <cell r="D1">
            <v>0</v>
          </cell>
        </row>
      </sheetData>
      <sheetData sheetId="36">
        <row r="1">
          <cell r="D1">
            <v>0</v>
          </cell>
        </row>
      </sheetData>
      <sheetData sheetId="37" refreshError="1"/>
      <sheetData sheetId="38" refreshError="1"/>
      <sheetData sheetId="39" refreshError="1"/>
      <sheetData sheetId="40" refreshError="1"/>
      <sheetData sheetId="41" refreshError="1"/>
      <sheetData sheetId="42" refreshError="1"/>
      <sheetData sheetId="43">
        <row r="1">
          <cell r="D1">
            <v>0</v>
          </cell>
        </row>
      </sheetData>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
          <cell r="D1">
            <v>0</v>
          </cell>
        </row>
      </sheetData>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D1">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58"/>
  <sheetViews>
    <sheetView showGridLines="0" view="pageBreakPreview" zoomScale="80" zoomScaleNormal="80" zoomScaleSheetLayoutView="80" workbookViewId="0">
      <selection activeCell="B9" sqref="B9:D58"/>
    </sheetView>
  </sheetViews>
  <sheetFormatPr defaultColWidth="9.36328125" defaultRowHeight="14" x14ac:dyDescent="0.25"/>
  <cols>
    <col min="1" max="1" width="6.36328125" style="13" customWidth="1"/>
    <col min="2" max="2" width="9.36328125" style="13" customWidth="1"/>
    <col min="3" max="3" width="75.6328125" style="13" customWidth="1"/>
    <col min="4" max="4" width="17.6328125" style="13" customWidth="1"/>
    <col min="5" max="5" width="20.6328125" style="13" customWidth="1"/>
    <col min="6" max="14" width="18.6328125" style="13" customWidth="1"/>
    <col min="15" max="16384" width="9.36328125" style="13"/>
  </cols>
  <sheetData>
    <row r="2" spans="2:14" ht="17.5" x14ac:dyDescent="0.25">
      <c r="B2" s="1459" t="s">
        <v>809</v>
      </c>
      <c r="C2" s="1460"/>
      <c r="D2" s="1460"/>
      <c r="E2" s="29"/>
      <c r="F2" s="29"/>
      <c r="G2" s="29"/>
      <c r="H2" s="29"/>
      <c r="I2" s="29"/>
      <c r="J2" s="29"/>
      <c r="K2" s="29"/>
      <c r="L2" s="29"/>
      <c r="M2" s="29"/>
      <c r="N2" s="29"/>
    </row>
    <row r="3" spans="2:14" s="5" customFormat="1" ht="15.5" customHeight="1" x14ac:dyDescent="0.3">
      <c r="B3" s="1461" t="s">
        <v>1370</v>
      </c>
      <c r="C3" s="1462"/>
      <c r="D3" s="1462"/>
      <c r="E3" s="29"/>
      <c r="F3" s="29"/>
      <c r="G3" s="29"/>
      <c r="H3" s="29"/>
      <c r="I3" s="29"/>
      <c r="J3" s="29"/>
      <c r="K3" s="29"/>
      <c r="L3" s="29"/>
      <c r="M3" s="29"/>
      <c r="N3" s="29"/>
    </row>
    <row r="4" spans="2:14" ht="15.5" x14ac:dyDescent="0.25">
      <c r="B4" s="30"/>
      <c r="C4" s="30"/>
      <c r="D4" s="30"/>
      <c r="E4" s="30"/>
      <c r="F4" s="30"/>
      <c r="G4" s="30"/>
      <c r="H4" s="30"/>
      <c r="I4" s="30"/>
      <c r="J4" s="30"/>
      <c r="K4" s="30"/>
      <c r="L4" s="30"/>
      <c r="M4" s="30"/>
      <c r="N4" s="30"/>
    </row>
    <row r="5" spans="2:14" ht="15.5" x14ac:dyDescent="0.25">
      <c r="B5" s="30"/>
      <c r="C5" s="30"/>
      <c r="D5" s="30"/>
      <c r="E5" s="30"/>
      <c r="F5" s="30"/>
      <c r="G5" s="30"/>
      <c r="H5" s="30"/>
      <c r="I5" s="30"/>
      <c r="J5" s="30"/>
      <c r="K5" s="30"/>
      <c r="L5" s="30"/>
      <c r="M5" s="31"/>
      <c r="N5" s="30"/>
    </row>
    <row r="6" spans="2:14" x14ac:dyDescent="0.25">
      <c r="B6" s="1463" t="s">
        <v>343</v>
      </c>
      <c r="C6" s="1466" t="s">
        <v>15</v>
      </c>
      <c r="D6" s="1466" t="s">
        <v>5</v>
      </c>
    </row>
    <row r="7" spans="2:14" x14ac:dyDescent="0.25">
      <c r="B7" s="1464"/>
      <c r="C7" s="1466"/>
      <c r="D7" s="1466"/>
    </row>
    <row r="8" spans="2:14" x14ac:dyDescent="0.25">
      <c r="B8" s="1465"/>
      <c r="C8" s="1467"/>
      <c r="D8" s="1467"/>
    </row>
    <row r="9" spans="2:14" ht="15.5" x14ac:dyDescent="0.25">
      <c r="B9" s="125">
        <v>1</v>
      </c>
      <c r="C9" s="124" t="s">
        <v>53</v>
      </c>
      <c r="D9" s="870" t="s">
        <v>13</v>
      </c>
    </row>
    <row r="10" spans="2:14" ht="15.5" x14ac:dyDescent="0.25">
      <c r="B10" s="125">
        <f>B9+1</f>
        <v>2</v>
      </c>
      <c r="C10" s="124" t="s">
        <v>376</v>
      </c>
      <c r="D10" s="870" t="s">
        <v>377</v>
      </c>
    </row>
    <row r="11" spans="2:14" ht="15.5" x14ac:dyDescent="0.25">
      <c r="B11" s="125">
        <f>B10+1</f>
        <v>3</v>
      </c>
      <c r="C11" s="124" t="s">
        <v>395</v>
      </c>
      <c r="D11" s="870" t="s">
        <v>55</v>
      </c>
    </row>
    <row r="12" spans="2:14" ht="15.5" x14ac:dyDescent="0.25">
      <c r="B12" s="125">
        <f>B11+1</f>
        <v>4</v>
      </c>
      <c r="C12" s="124" t="s">
        <v>54</v>
      </c>
      <c r="D12" s="870" t="s">
        <v>56</v>
      </c>
    </row>
    <row r="13" spans="2:14" ht="15.5" x14ac:dyDescent="0.25">
      <c r="B13" s="125">
        <f>B12+1</f>
        <v>5</v>
      </c>
      <c r="C13" s="124" t="s">
        <v>309</v>
      </c>
      <c r="D13" s="870" t="s">
        <v>58</v>
      </c>
    </row>
    <row r="14" spans="2:14" ht="15.5" x14ac:dyDescent="0.25">
      <c r="B14" s="125">
        <f t="shared" ref="B14:B41" si="0">B13+1</f>
        <v>6</v>
      </c>
      <c r="C14" s="124" t="s">
        <v>57</v>
      </c>
      <c r="D14" s="870" t="s">
        <v>60</v>
      </c>
    </row>
    <row r="15" spans="2:14" ht="15.5" x14ac:dyDescent="0.25">
      <c r="B15" s="125">
        <f t="shared" si="0"/>
        <v>7</v>
      </c>
      <c r="C15" s="124" t="s">
        <v>59</v>
      </c>
      <c r="D15" s="870" t="s">
        <v>62</v>
      </c>
    </row>
    <row r="16" spans="2:14" ht="15.5" x14ac:dyDescent="0.25">
      <c r="B16" s="125">
        <f t="shared" si="0"/>
        <v>8</v>
      </c>
      <c r="C16" s="126" t="s">
        <v>362</v>
      </c>
      <c r="D16" s="870" t="s">
        <v>64</v>
      </c>
    </row>
    <row r="17" spans="2:4" ht="15.5" x14ac:dyDescent="0.25">
      <c r="B17" s="125">
        <f t="shared" si="0"/>
        <v>9</v>
      </c>
      <c r="C17" s="126" t="s">
        <v>61</v>
      </c>
      <c r="D17" s="870" t="s">
        <v>361</v>
      </c>
    </row>
    <row r="18" spans="2:4" ht="15.5" x14ac:dyDescent="0.25">
      <c r="B18" s="125">
        <f t="shared" si="0"/>
        <v>10</v>
      </c>
      <c r="C18" s="124" t="s">
        <v>63</v>
      </c>
      <c r="D18" s="870" t="s">
        <v>394</v>
      </c>
    </row>
    <row r="19" spans="2:4" ht="15.5" x14ac:dyDescent="0.25">
      <c r="B19" s="125">
        <f t="shared" si="0"/>
        <v>11</v>
      </c>
      <c r="C19" s="126" t="s">
        <v>65</v>
      </c>
      <c r="D19" s="870" t="s">
        <v>40</v>
      </c>
    </row>
    <row r="20" spans="2:4" ht="15.5" x14ac:dyDescent="0.25">
      <c r="B20" s="125">
        <f t="shared" si="0"/>
        <v>12</v>
      </c>
      <c r="C20" s="126" t="s">
        <v>667</v>
      </c>
      <c r="D20" s="870" t="s">
        <v>66</v>
      </c>
    </row>
    <row r="21" spans="2:4" ht="15.5" x14ac:dyDescent="0.25">
      <c r="B21" s="125">
        <f t="shared" si="0"/>
        <v>13</v>
      </c>
      <c r="C21" s="126" t="s">
        <v>177</v>
      </c>
      <c r="D21" s="870" t="s">
        <v>67</v>
      </c>
    </row>
    <row r="22" spans="2:4" ht="15.5" x14ac:dyDescent="0.25">
      <c r="B22" s="125">
        <f t="shared" si="0"/>
        <v>14</v>
      </c>
      <c r="C22" s="126" t="s">
        <v>665</v>
      </c>
      <c r="D22" s="870" t="s">
        <v>68</v>
      </c>
    </row>
    <row r="23" spans="2:4" ht="15.5" x14ac:dyDescent="0.25">
      <c r="B23" s="125">
        <f t="shared" si="0"/>
        <v>15</v>
      </c>
      <c r="C23" s="124" t="s">
        <v>666</v>
      </c>
      <c r="D23" s="870" t="s">
        <v>69</v>
      </c>
    </row>
    <row r="24" spans="2:4" ht="15.5" x14ac:dyDescent="0.25">
      <c r="B24" s="125">
        <f t="shared" si="0"/>
        <v>16</v>
      </c>
      <c r="C24" s="124" t="s">
        <v>497</v>
      </c>
      <c r="D24" s="870" t="s">
        <v>41</v>
      </c>
    </row>
    <row r="25" spans="2:4" ht="15.5" x14ac:dyDescent="0.25">
      <c r="B25" s="125">
        <f t="shared" si="0"/>
        <v>17</v>
      </c>
      <c r="C25" s="124" t="s">
        <v>14</v>
      </c>
      <c r="D25" s="870" t="s">
        <v>400</v>
      </c>
    </row>
    <row r="26" spans="2:4" ht="15.5" x14ac:dyDescent="0.25">
      <c r="B26" s="125">
        <f t="shared" si="0"/>
        <v>18</v>
      </c>
      <c r="C26" s="124" t="s">
        <v>310</v>
      </c>
      <c r="D26" s="870" t="s">
        <v>401</v>
      </c>
    </row>
    <row r="27" spans="2:4" ht="15.5" x14ac:dyDescent="0.25">
      <c r="B27" s="125">
        <f t="shared" si="0"/>
        <v>19</v>
      </c>
      <c r="C27" s="124" t="s">
        <v>48</v>
      </c>
      <c r="D27" s="870" t="s">
        <v>498</v>
      </c>
    </row>
    <row r="28" spans="2:4" ht="15.5" x14ac:dyDescent="0.25">
      <c r="B28" s="125">
        <f t="shared" si="0"/>
        <v>20</v>
      </c>
      <c r="C28" s="124" t="s">
        <v>1371</v>
      </c>
      <c r="D28" s="870" t="s">
        <v>70</v>
      </c>
    </row>
    <row r="29" spans="2:4" ht="46.5" x14ac:dyDescent="0.25">
      <c r="B29" s="125">
        <f t="shared" si="0"/>
        <v>21</v>
      </c>
      <c r="C29" s="871" t="s">
        <v>1372</v>
      </c>
      <c r="D29" s="870" t="s">
        <v>1373</v>
      </c>
    </row>
    <row r="30" spans="2:4" ht="15.5" x14ac:dyDescent="0.25">
      <c r="B30" s="125">
        <f t="shared" si="0"/>
        <v>22</v>
      </c>
      <c r="C30" s="124" t="s">
        <v>1374</v>
      </c>
      <c r="D30" s="870" t="s">
        <v>1375</v>
      </c>
    </row>
    <row r="31" spans="2:4" ht="15.5" x14ac:dyDescent="0.25">
      <c r="B31" s="125">
        <f t="shared" si="0"/>
        <v>23</v>
      </c>
      <c r="C31" s="126" t="s">
        <v>33</v>
      </c>
      <c r="D31" s="870" t="s">
        <v>71</v>
      </c>
    </row>
    <row r="32" spans="2:4" ht="15.5" x14ac:dyDescent="0.25">
      <c r="B32" s="125">
        <f t="shared" si="0"/>
        <v>24</v>
      </c>
      <c r="C32" s="124" t="s">
        <v>42</v>
      </c>
      <c r="D32" s="870" t="s">
        <v>73</v>
      </c>
    </row>
    <row r="33" spans="2:4" ht="15.5" x14ac:dyDescent="0.25">
      <c r="B33" s="125">
        <f t="shared" si="0"/>
        <v>25</v>
      </c>
      <c r="C33" s="124" t="s">
        <v>72</v>
      </c>
      <c r="D33" s="870" t="s">
        <v>74</v>
      </c>
    </row>
    <row r="34" spans="2:4" ht="15.5" x14ac:dyDescent="0.25">
      <c r="B34" s="125">
        <f t="shared" si="0"/>
        <v>26</v>
      </c>
      <c r="C34" s="126" t="s">
        <v>691</v>
      </c>
      <c r="D34" s="870" t="s">
        <v>75</v>
      </c>
    </row>
    <row r="35" spans="2:4" ht="15.5" x14ac:dyDescent="0.25">
      <c r="B35" s="125">
        <f t="shared" si="0"/>
        <v>27</v>
      </c>
      <c r="C35" s="263" t="s">
        <v>445</v>
      </c>
      <c r="D35" s="870" t="s">
        <v>311</v>
      </c>
    </row>
    <row r="36" spans="2:4" ht="15.5" x14ac:dyDescent="0.25">
      <c r="B36" s="125">
        <f t="shared" si="0"/>
        <v>28</v>
      </c>
      <c r="C36" s="126" t="s">
        <v>313</v>
      </c>
      <c r="D36" s="870" t="s">
        <v>312</v>
      </c>
    </row>
    <row r="37" spans="2:4" ht="15.5" x14ac:dyDescent="0.25">
      <c r="B37" s="125">
        <f t="shared" si="0"/>
        <v>29</v>
      </c>
      <c r="C37" s="124" t="s">
        <v>451</v>
      </c>
      <c r="D37" s="870" t="s">
        <v>444</v>
      </c>
    </row>
    <row r="38" spans="2:4" ht="15.5" x14ac:dyDescent="0.25">
      <c r="B38" s="125">
        <f t="shared" si="0"/>
        <v>30</v>
      </c>
      <c r="C38" s="124" t="s">
        <v>323</v>
      </c>
      <c r="D38" s="870" t="s">
        <v>76</v>
      </c>
    </row>
    <row r="39" spans="2:4" ht="15.5" x14ac:dyDescent="0.25">
      <c r="B39" s="125">
        <f t="shared" si="0"/>
        <v>31</v>
      </c>
      <c r="C39" s="124" t="s">
        <v>314</v>
      </c>
      <c r="D39" s="870" t="s">
        <v>77</v>
      </c>
    </row>
    <row r="40" spans="2:4" ht="15.5" x14ac:dyDescent="0.25">
      <c r="B40" s="125">
        <f t="shared" si="0"/>
        <v>32</v>
      </c>
      <c r="C40" s="124" t="s">
        <v>88</v>
      </c>
      <c r="D40" s="870" t="s">
        <v>324</v>
      </c>
    </row>
    <row r="41" spans="2:4" ht="15.5" x14ac:dyDescent="0.25">
      <c r="B41" s="125">
        <f t="shared" si="0"/>
        <v>33</v>
      </c>
      <c r="C41" s="124" t="s">
        <v>315</v>
      </c>
      <c r="D41" s="870" t="s">
        <v>352</v>
      </c>
    </row>
    <row r="42" spans="2:4" ht="15.5" x14ac:dyDescent="0.25">
      <c r="B42" s="872"/>
      <c r="C42" s="873" t="s">
        <v>1376</v>
      </c>
      <c r="D42" s="874"/>
    </row>
    <row r="43" spans="2:4" ht="15.5" x14ac:dyDescent="0.25">
      <c r="B43" s="125">
        <f>B41+1</f>
        <v>34</v>
      </c>
      <c r="C43" s="124" t="s">
        <v>1377</v>
      </c>
      <c r="D43" s="870" t="s">
        <v>1378</v>
      </c>
    </row>
    <row r="44" spans="2:4" ht="15.5" x14ac:dyDescent="0.25">
      <c r="B44" s="125">
        <f>B43+1</f>
        <v>35</v>
      </c>
      <c r="C44" s="124" t="s">
        <v>1379</v>
      </c>
      <c r="D44" s="870" t="s">
        <v>1380</v>
      </c>
    </row>
    <row r="45" spans="2:4" ht="15.5" x14ac:dyDescent="0.25">
      <c r="B45" s="125">
        <f>B44+1</f>
        <v>36</v>
      </c>
      <c r="C45" s="124" t="s">
        <v>1381</v>
      </c>
      <c r="D45" s="870" t="s">
        <v>1382</v>
      </c>
    </row>
    <row r="46" spans="2:4" ht="15.5" x14ac:dyDescent="0.25">
      <c r="B46" s="125">
        <f t="shared" ref="B46:B55" si="1">B45+1</f>
        <v>37</v>
      </c>
      <c r="C46" s="124" t="s">
        <v>1383</v>
      </c>
      <c r="D46" s="870" t="s">
        <v>1384</v>
      </c>
    </row>
    <row r="47" spans="2:4" ht="15.5" x14ac:dyDescent="0.25">
      <c r="B47" s="125">
        <f t="shared" si="1"/>
        <v>38</v>
      </c>
      <c r="C47" s="124" t="s">
        <v>1385</v>
      </c>
      <c r="D47" s="870" t="s">
        <v>1386</v>
      </c>
    </row>
    <row r="48" spans="2:4" ht="15.5" x14ac:dyDescent="0.25">
      <c r="B48" s="125">
        <f t="shared" si="1"/>
        <v>39</v>
      </c>
      <c r="C48" s="124" t="s">
        <v>1387</v>
      </c>
      <c r="D48" s="870" t="s">
        <v>1388</v>
      </c>
    </row>
    <row r="49" spans="2:4" ht="15.5" x14ac:dyDescent="0.25">
      <c r="B49" s="125">
        <f t="shared" si="1"/>
        <v>40</v>
      </c>
      <c r="C49" s="124" t="s">
        <v>1389</v>
      </c>
      <c r="D49" s="870" t="s">
        <v>1390</v>
      </c>
    </row>
    <row r="50" spans="2:4" ht="15.5" x14ac:dyDescent="0.25">
      <c r="B50" s="125">
        <f t="shared" si="1"/>
        <v>41</v>
      </c>
      <c r="C50" s="124" t="s">
        <v>1391</v>
      </c>
      <c r="D50" s="870" t="s">
        <v>1392</v>
      </c>
    </row>
    <row r="51" spans="2:4" ht="15.5" x14ac:dyDescent="0.25">
      <c r="B51" s="125">
        <f t="shared" si="1"/>
        <v>42</v>
      </c>
      <c r="C51" s="124" t="s">
        <v>1393</v>
      </c>
      <c r="D51" s="870" t="s">
        <v>1394</v>
      </c>
    </row>
    <row r="52" spans="2:4" ht="15.5" x14ac:dyDescent="0.25">
      <c r="B52" s="125">
        <f t="shared" si="1"/>
        <v>43</v>
      </c>
      <c r="C52" s="322" t="s">
        <v>1395</v>
      </c>
      <c r="D52" s="323" t="s">
        <v>1396</v>
      </c>
    </row>
    <row r="53" spans="2:4" ht="15.5" x14ac:dyDescent="0.25">
      <c r="B53" s="125">
        <f t="shared" si="1"/>
        <v>44</v>
      </c>
      <c r="C53" s="322" t="s">
        <v>1397</v>
      </c>
      <c r="D53" s="323" t="s">
        <v>1398</v>
      </c>
    </row>
    <row r="54" spans="2:4" ht="15.5" x14ac:dyDescent="0.25">
      <c r="B54" s="125">
        <f t="shared" si="1"/>
        <v>45</v>
      </c>
      <c r="C54" s="322" t="s">
        <v>569</v>
      </c>
      <c r="D54" s="323" t="s">
        <v>570</v>
      </c>
    </row>
    <row r="55" spans="2:4" ht="15.5" x14ac:dyDescent="0.25">
      <c r="B55" s="875">
        <f t="shared" si="1"/>
        <v>46</v>
      </c>
      <c r="C55" s="876" t="s">
        <v>642</v>
      </c>
      <c r="D55" s="877" t="s">
        <v>1399</v>
      </c>
    </row>
    <row r="56" spans="2:4" ht="15.5" x14ac:dyDescent="0.25">
      <c r="B56" s="125">
        <f>B55+1</f>
        <v>47</v>
      </c>
      <c r="C56" s="322" t="s">
        <v>1400</v>
      </c>
      <c r="D56" s="323" t="s">
        <v>1401</v>
      </c>
    </row>
    <row r="57" spans="2:4" x14ac:dyDescent="0.25">
      <c r="B57" s="101">
        <v>48</v>
      </c>
      <c r="C57" s="23" t="s">
        <v>1402</v>
      </c>
      <c r="D57" s="23" t="s">
        <v>1403</v>
      </c>
    </row>
    <row r="58" spans="2:4" x14ac:dyDescent="0.25">
      <c r="B58" s="324" t="s">
        <v>1404</v>
      </c>
    </row>
  </sheetData>
  <mergeCells count="5">
    <mergeCell ref="B2:D2"/>
    <mergeCell ref="B3:D3"/>
    <mergeCell ref="B6:B8"/>
    <mergeCell ref="C6:C8"/>
    <mergeCell ref="D6:D8"/>
  </mergeCells>
  <phoneticPr fontId="21"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X56"/>
  <sheetViews>
    <sheetView showGridLines="0" tabSelected="1" view="pageBreakPreview" zoomScale="70" zoomScaleNormal="80" zoomScaleSheetLayoutView="70" workbookViewId="0">
      <pane xSplit="3" ySplit="9" topLeftCell="D10" activePane="bottomRight" state="frozen"/>
      <selection activeCell="B28" sqref="B28"/>
      <selection pane="topRight" activeCell="B28" sqref="B28"/>
      <selection pane="bottomLeft" activeCell="B28" sqref="B28"/>
      <selection pane="bottomRight" activeCell="C20" sqref="C20"/>
    </sheetView>
  </sheetViews>
  <sheetFormatPr defaultColWidth="9.36328125" defaultRowHeight="14" x14ac:dyDescent="0.25"/>
  <cols>
    <col min="1" max="1" width="6.6328125" style="13" customWidth="1"/>
    <col min="2" max="2" width="6.36328125" style="13" customWidth="1"/>
    <col min="3" max="3" width="33.36328125" style="13" customWidth="1"/>
    <col min="4" max="13" width="12.54296875" style="13" customWidth="1"/>
    <col min="14" max="14" width="14.6328125" style="13" customWidth="1"/>
    <col min="15" max="15" width="14" style="13" bestFit="1" customWidth="1"/>
    <col min="16" max="16" width="13" style="13" customWidth="1"/>
    <col min="17" max="17" width="15.54296875" style="13" customWidth="1"/>
    <col min="18" max="19" width="15.6328125" style="13" customWidth="1"/>
    <col min="20" max="23" width="16.36328125" style="13" customWidth="1"/>
    <col min="24" max="24" width="15.6328125" style="13" customWidth="1"/>
    <col min="25" max="16384" width="9.36328125" style="13"/>
  </cols>
  <sheetData>
    <row r="2" spans="2:24" x14ac:dyDescent="0.25">
      <c r="B2" s="1468" t="str">
        <f>Index!B2</f>
        <v xml:space="preserve">      Maharashtra State Power Generation Company Ltd.</v>
      </c>
      <c r="C2" s="1469"/>
      <c r="D2" s="1469"/>
      <c r="E2" s="1469"/>
      <c r="F2" s="1469"/>
      <c r="G2" s="1469"/>
      <c r="H2" s="1469"/>
      <c r="I2" s="1469"/>
      <c r="J2" s="1469"/>
      <c r="K2" s="1469"/>
      <c r="L2" s="1469"/>
      <c r="M2" s="1469"/>
      <c r="N2" s="1469"/>
      <c r="O2" s="1469"/>
      <c r="P2" s="1469"/>
      <c r="Q2" s="1469"/>
      <c r="R2" s="1469"/>
      <c r="S2" s="1469"/>
      <c r="T2" s="1469"/>
      <c r="U2" s="1469"/>
      <c r="V2" s="1469"/>
      <c r="W2" s="1469"/>
      <c r="X2" s="1469"/>
    </row>
    <row r="3" spans="2:24" s="5" customFormat="1" x14ac:dyDescent="0.3">
      <c r="B3" s="1470" t="str">
        <f>Index!B3</f>
        <v>MYT Petition Formats for SHP Hydro</v>
      </c>
      <c r="C3" s="1469"/>
      <c r="D3" s="1469"/>
      <c r="E3" s="1469"/>
      <c r="F3" s="1469"/>
      <c r="G3" s="1469"/>
      <c r="H3" s="1469"/>
      <c r="I3" s="1469"/>
      <c r="J3" s="1469"/>
      <c r="K3" s="1469"/>
      <c r="L3" s="1469"/>
      <c r="M3" s="1469"/>
      <c r="N3" s="1469"/>
      <c r="O3" s="1469"/>
      <c r="P3" s="1469"/>
      <c r="Q3" s="1469"/>
      <c r="R3" s="1469"/>
      <c r="S3" s="1469"/>
      <c r="T3" s="1469"/>
      <c r="U3" s="1469"/>
      <c r="V3" s="1469"/>
      <c r="W3" s="1469"/>
      <c r="X3" s="1469"/>
    </row>
    <row r="4" spans="2:24" s="5" customFormat="1" x14ac:dyDescent="0.3">
      <c r="B4" s="1470" t="s">
        <v>78</v>
      </c>
      <c r="C4" s="1469"/>
      <c r="D4" s="1469"/>
      <c r="E4" s="1469"/>
      <c r="F4" s="1469"/>
      <c r="G4" s="1469"/>
      <c r="H4" s="1469"/>
      <c r="I4" s="1469"/>
      <c r="J4" s="1469"/>
      <c r="K4" s="1469"/>
      <c r="L4" s="1469"/>
      <c r="M4" s="1469"/>
      <c r="N4" s="1469"/>
      <c r="O4" s="1469"/>
      <c r="P4" s="1469"/>
      <c r="Q4" s="1469"/>
      <c r="R4" s="1469"/>
      <c r="S4" s="1469"/>
      <c r="T4" s="1469"/>
      <c r="U4" s="1469"/>
      <c r="V4" s="1469"/>
      <c r="W4" s="1469"/>
      <c r="X4" s="1469"/>
    </row>
    <row r="6" spans="2:24" x14ac:dyDescent="0.25">
      <c r="X6" s="13" t="s">
        <v>447</v>
      </c>
    </row>
    <row r="7" spans="2:24" ht="12.75" customHeight="1" x14ac:dyDescent="0.25">
      <c r="B7" s="1471" t="s">
        <v>343</v>
      </c>
      <c r="C7" s="1474" t="s">
        <v>37</v>
      </c>
      <c r="D7" s="1474" t="s">
        <v>5</v>
      </c>
      <c r="E7" s="1478" t="s">
        <v>519</v>
      </c>
      <c r="F7" s="1479"/>
      <c r="G7" s="1479"/>
      <c r="H7" s="1480"/>
      <c r="I7" s="1478" t="s">
        <v>520</v>
      </c>
      <c r="J7" s="1479"/>
      <c r="K7" s="1479"/>
      <c r="L7" s="1480"/>
      <c r="M7" s="1478" t="s">
        <v>521</v>
      </c>
      <c r="N7" s="1479"/>
      <c r="O7" s="1479"/>
      <c r="P7" s="1479"/>
      <c r="Q7" s="1479"/>
      <c r="R7" s="1480"/>
      <c r="S7" s="1476" t="s">
        <v>1410</v>
      </c>
      <c r="T7" s="1476"/>
      <c r="U7" s="1476"/>
      <c r="V7" s="1476"/>
      <c r="W7" s="1476"/>
      <c r="X7" s="1476" t="s">
        <v>27</v>
      </c>
    </row>
    <row r="8" spans="2:24" ht="28" x14ac:dyDescent="0.25">
      <c r="B8" s="1472"/>
      <c r="C8" s="1474"/>
      <c r="D8" s="1474"/>
      <c r="E8" s="956" t="s">
        <v>993</v>
      </c>
      <c r="F8" s="562" t="s">
        <v>936</v>
      </c>
      <c r="G8" s="562" t="s">
        <v>79</v>
      </c>
      <c r="H8" s="562" t="s">
        <v>459</v>
      </c>
      <c r="I8" s="956" t="s">
        <v>993</v>
      </c>
      <c r="J8" s="562" t="s">
        <v>936</v>
      </c>
      <c r="K8" s="562" t="s">
        <v>79</v>
      </c>
      <c r="L8" s="562" t="s">
        <v>459</v>
      </c>
      <c r="M8" s="956" t="s">
        <v>993</v>
      </c>
      <c r="N8" s="562" t="s">
        <v>936</v>
      </c>
      <c r="O8" s="562" t="s">
        <v>449</v>
      </c>
      <c r="P8" s="562" t="s">
        <v>455</v>
      </c>
      <c r="Q8" s="562" t="s">
        <v>80</v>
      </c>
      <c r="R8" s="562" t="s">
        <v>460</v>
      </c>
      <c r="S8" s="956" t="s">
        <v>940</v>
      </c>
      <c r="T8" s="956" t="s">
        <v>941</v>
      </c>
      <c r="U8" s="956" t="s">
        <v>945</v>
      </c>
      <c r="V8" s="956" t="s">
        <v>942</v>
      </c>
      <c r="W8" s="956" t="s">
        <v>944</v>
      </c>
      <c r="X8" s="1476"/>
    </row>
    <row r="9" spans="2:24" x14ac:dyDescent="0.25">
      <c r="B9" s="1473"/>
      <c r="C9" s="1475"/>
      <c r="D9" s="1475"/>
      <c r="E9" s="956" t="s">
        <v>81</v>
      </c>
      <c r="F9" s="956" t="s">
        <v>82</v>
      </c>
      <c r="G9" s="956" t="s">
        <v>1456</v>
      </c>
      <c r="H9" s="956" t="s">
        <v>1457</v>
      </c>
      <c r="I9" s="956" t="s">
        <v>1437</v>
      </c>
      <c r="J9" s="956" t="s">
        <v>522</v>
      </c>
      <c r="K9" s="956" t="s">
        <v>415</v>
      </c>
      <c r="L9" s="956" t="s">
        <v>1458</v>
      </c>
      <c r="M9" s="956" t="s">
        <v>603</v>
      </c>
      <c r="N9" s="956" t="s">
        <v>670</v>
      </c>
      <c r="O9" s="956" t="s">
        <v>604</v>
      </c>
      <c r="P9" s="956" t="s">
        <v>605</v>
      </c>
      <c r="Q9" s="956" t="s">
        <v>1459</v>
      </c>
      <c r="R9" s="956" t="s">
        <v>1460</v>
      </c>
      <c r="S9" s="956" t="s">
        <v>21</v>
      </c>
      <c r="T9" s="956" t="s">
        <v>21</v>
      </c>
      <c r="U9" s="956" t="s">
        <v>21</v>
      </c>
      <c r="V9" s="956" t="s">
        <v>21</v>
      </c>
      <c r="W9" s="956" t="s">
        <v>21</v>
      </c>
      <c r="X9" s="1477"/>
    </row>
    <row r="10" spans="2:24" x14ac:dyDescent="0.25">
      <c r="B10" s="23"/>
      <c r="C10" s="23"/>
      <c r="D10" s="130"/>
      <c r="E10" s="130"/>
      <c r="F10" s="130"/>
      <c r="G10" s="130"/>
      <c r="H10" s="130"/>
      <c r="I10" s="130"/>
      <c r="J10" s="130"/>
      <c r="K10" s="130"/>
      <c r="L10" s="130"/>
      <c r="M10" s="130"/>
      <c r="N10" s="130"/>
      <c r="O10" s="23"/>
      <c r="P10" s="23"/>
      <c r="Q10" s="23"/>
      <c r="R10" s="23"/>
      <c r="S10" s="23"/>
      <c r="T10" s="23"/>
      <c r="U10" s="23"/>
      <c r="V10" s="23"/>
      <c r="W10" s="23"/>
      <c r="X10" s="23"/>
    </row>
    <row r="11" spans="2:24" s="361" customFormat="1" x14ac:dyDescent="0.25">
      <c r="B11" s="277">
        <v>1</v>
      </c>
      <c r="C11" s="121" t="s">
        <v>83</v>
      </c>
      <c r="D11" s="131" t="s">
        <v>56</v>
      </c>
      <c r="E11" s="578"/>
      <c r="F11" s="351">
        <f>'F2.2'!E119</f>
        <v>0</v>
      </c>
      <c r="G11" s="351">
        <f>'F2.2'!F119</f>
        <v>0</v>
      </c>
      <c r="H11" s="351">
        <f>G11-F11</f>
        <v>0</v>
      </c>
      <c r="I11" s="578"/>
      <c r="J11" s="351">
        <f>'F2.2'!H119</f>
        <v>0</v>
      </c>
      <c r="K11" s="351">
        <f>'F2.2'!I119</f>
        <v>0</v>
      </c>
      <c r="L11" s="351">
        <f>K11-J11</f>
        <v>0</v>
      </c>
      <c r="M11" s="578"/>
      <c r="N11" s="351">
        <f>'F2.2'!K119</f>
        <v>0</v>
      </c>
      <c r="O11" s="351">
        <f>'F2.2'!L119</f>
        <v>0</v>
      </c>
      <c r="P11" s="351">
        <f>'F2.2'!M119</f>
        <v>0</v>
      </c>
      <c r="Q11" s="365">
        <f>O11+P11</f>
        <v>0</v>
      </c>
      <c r="R11" s="365">
        <f t="shared" ref="R11:R19" si="0">Q11-N11</f>
        <v>0</v>
      </c>
      <c r="S11" s="365">
        <f>'F2.2'!Q119</f>
        <v>0</v>
      </c>
      <c r="T11" s="365">
        <f>'F2.2'!S119</f>
        <v>0</v>
      </c>
      <c r="U11" s="365">
        <f>'F2.2'!T119</f>
        <v>0</v>
      </c>
      <c r="V11" s="365">
        <f>'F2.2'!U119</f>
        <v>0</v>
      </c>
      <c r="W11" s="365">
        <f>'F2.2'!V119</f>
        <v>0</v>
      </c>
      <c r="X11" s="365"/>
    </row>
    <row r="12" spans="2:24" s="361" customFormat="1" x14ac:dyDescent="0.25">
      <c r="B12" s="277">
        <f>B11+1</f>
        <v>2</v>
      </c>
      <c r="C12" s="23" t="s">
        <v>1440</v>
      </c>
      <c r="D12" s="131"/>
      <c r="E12" s="934"/>
      <c r="F12" s="351"/>
      <c r="G12" s="351"/>
      <c r="H12" s="351"/>
      <c r="I12" s="934"/>
      <c r="J12" s="351"/>
      <c r="K12" s="351"/>
      <c r="L12" s="351"/>
      <c r="M12" s="934"/>
      <c r="N12" s="351"/>
      <c r="O12" s="351"/>
      <c r="P12" s="351"/>
      <c r="Q12" s="365"/>
      <c r="R12" s="365"/>
      <c r="S12" s="365"/>
      <c r="T12" s="365"/>
      <c r="U12" s="365"/>
      <c r="V12" s="365"/>
      <c r="W12" s="365"/>
      <c r="X12" s="365"/>
    </row>
    <row r="13" spans="2:24" s="361" customFormat="1" x14ac:dyDescent="0.25">
      <c r="B13" s="277">
        <f t="shared" ref="B13:B30" si="1">B12+1</f>
        <v>3</v>
      </c>
      <c r="C13" s="121" t="s">
        <v>84</v>
      </c>
      <c r="D13" s="131" t="s">
        <v>40</v>
      </c>
      <c r="E13" s="491">
        <f>'F3'!E17+'F3.1'!D27</f>
        <v>114.73054993755282</v>
      </c>
      <c r="F13" s="351">
        <f>'F3'!F17+'F3.1'!E27</f>
        <v>131.39565737090265</v>
      </c>
      <c r="G13" s="351">
        <f>'F3'!G17+'F3.1'!E27</f>
        <v>124.35560354858053</v>
      </c>
      <c r="H13" s="351">
        <f>G13-F13</f>
        <v>-7.0400538223221218</v>
      </c>
      <c r="I13" s="491">
        <f>'F3'!I17+'F3.1'!F27</f>
        <v>127.83390795006468</v>
      </c>
      <c r="J13" s="351">
        <f>'F3'!J17+'F3.1'!G27</f>
        <v>158.814014833187</v>
      </c>
      <c r="K13" s="351">
        <f>'F3'!K17+'F3.1'!G27</f>
        <v>190.33916139979721</v>
      </c>
      <c r="L13" s="351">
        <f>K13-J13</f>
        <v>31.525146566610204</v>
      </c>
      <c r="M13" s="491">
        <f>'F3'!M17+'F3.1'!H27</f>
        <v>120.42800075997927</v>
      </c>
      <c r="N13" s="351">
        <f>'F3'!N17+'F3.1'!I27</f>
        <v>165.73294466771657</v>
      </c>
      <c r="O13" s="351">
        <f>'F3'!O17+'F3.1'!I27/2</f>
        <v>77.685917046872973</v>
      </c>
      <c r="P13" s="351">
        <f>'F3'!P17+'F3.1'!I27/2</f>
        <v>76.768417558444384</v>
      </c>
      <c r="Q13" s="365">
        <f>O13+P13</f>
        <v>154.45433460531734</v>
      </c>
      <c r="R13" s="365">
        <f t="shared" si="0"/>
        <v>-11.278610062399224</v>
      </c>
      <c r="S13" s="365">
        <f>'F3'!S17+'F3.1'!P27</f>
        <v>170.62179459589458</v>
      </c>
      <c r="T13" s="365">
        <f>'F3'!T17+'F3.1'!R27</f>
        <v>178.05514502337729</v>
      </c>
      <c r="U13" s="365">
        <f>'F3'!U17+'F3.1'!S27</f>
        <v>185.81233859592027</v>
      </c>
      <c r="V13" s="365">
        <f>'F3'!V17+'F3.1'!T27</f>
        <v>193.90748394241504</v>
      </c>
      <c r="W13" s="365">
        <f>'F3'!W17+'F3.1'!U27</f>
        <v>202.35530435169665</v>
      </c>
      <c r="X13" s="365"/>
    </row>
    <row r="14" spans="2:24" s="361" customFormat="1" x14ac:dyDescent="0.25">
      <c r="B14" s="277">
        <f t="shared" si="1"/>
        <v>4</v>
      </c>
      <c r="C14" s="121" t="s">
        <v>994</v>
      </c>
      <c r="D14" s="131"/>
      <c r="E14" s="578"/>
      <c r="F14" s="578">
        <f>G14</f>
        <v>1.215902131</v>
      </c>
      <c r="G14" s="373">
        <v>1.215902131</v>
      </c>
      <c r="H14" s="578">
        <f>G14-F14</f>
        <v>0</v>
      </c>
      <c r="I14" s="578"/>
      <c r="J14" s="578">
        <f>K14</f>
        <v>1.6365934961008002</v>
      </c>
      <c r="K14" s="1109">
        <v>1.6365934961008002</v>
      </c>
      <c r="L14" s="1108">
        <f t="shared" ref="L14:L29" si="2">K14-J14</f>
        <v>0</v>
      </c>
      <c r="M14" s="1108"/>
      <c r="N14" s="1108">
        <f>Q14</f>
        <v>1.4262478135504</v>
      </c>
      <c r="O14" s="1109">
        <v>0.71312390677519999</v>
      </c>
      <c r="P14" s="1109">
        <v>0.71312390677519999</v>
      </c>
      <c r="Q14" s="1108">
        <f>SUM(O14:P14)</f>
        <v>1.4262478135504</v>
      </c>
      <c r="R14" s="1108">
        <f t="shared" si="0"/>
        <v>0</v>
      </c>
      <c r="S14" s="1108">
        <v>1.4883840712287388</v>
      </c>
      <c r="T14" s="1108">
        <v>1.553227372158319</v>
      </c>
      <c r="U14" s="938">
        <v>1.620895652041062</v>
      </c>
      <c r="V14" s="938">
        <v>1.6915119845942435</v>
      </c>
      <c r="W14" s="938">
        <v>1.7652048053945135</v>
      </c>
      <c r="X14" s="480"/>
    </row>
    <row r="15" spans="2:24" s="361" customFormat="1" x14ac:dyDescent="0.25">
      <c r="B15" s="277">
        <f t="shared" si="1"/>
        <v>5</v>
      </c>
      <c r="C15" s="121" t="s">
        <v>1449</v>
      </c>
      <c r="D15" s="131"/>
      <c r="E15" s="948"/>
      <c r="F15" s="948"/>
      <c r="G15" s="373"/>
      <c r="H15" s="948"/>
      <c r="I15" s="948"/>
      <c r="J15" s="948"/>
      <c r="K15" s="1109"/>
      <c r="L15" s="1108"/>
      <c r="M15" s="1108"/>
      <c r="N15" s="1108"/>
      <c r="O15" s="1109"/>
      <c r="P15" s="1110"/>
      <c r="Q15" s="1108"/>
      <c r="R15" s="1108"/>
      <c r="S15" s="1108">
        <v>13.115000000000002</v>
      </c>
      <c r="T15" s="1108">
        <v>13.975000000000001</v>
      </c>
      <c r="U15" s="948">
        <v>17.092500000000001</v>
      </c>
      <c r="V15" s="948">
        <v>17.092500000000001</v>
      </c>
      <c r="W15" s="948">
        <v>17.092500000000001</v>
      </c>
      <c r="X15" s="480"/>
    </row>
    <row r="16" spans="2:24" s="361" customFormat="1" x14ac:dyDescent="0.25">
      <c r="B16" s="277">
        <f t="shared" si="1"/>
        <v>6</v>
      </c>
      <c r="C16" s="121" t="s">
        <v>1450</v>
      </c>
      <c r="D16" s="131"/>
      <c r="E16" s="948"/>
      <c r="F16" s="948"/>
      <c r="G16" s="373"/>
      <c r="H16" s="948"/>
      <c r="I16" s="948"/>
      <c r="J16" s="948"/>
      <c r="K16" s="1109"/>
      <c r="L16" s="1108"/>
      <c r="M16" s="1108"/>
      <c r="N16" s="1108"/>
      <c r="O16" s="1109"/>
      <c r="P16" s="1110"/>
      <c r="Q16" s="1108"/>
      <c r="R16" s="1108"/>
      <c r="S16" s="1108">
        <v>0</v>
      </c>
      <c r="T16" s="1108">
        <v>0</v>
      </c>
      <c r="U16" s="948">
        <v>0</v>
      </c>
      <c r="V16" s="948">
        <v>0</v>
      </c>
      <c r="W16" s="948">
        <v>0</v>
      </c>
      <c r="X16" s="480"/>
    </row>
    <row r="17" spans="2:24" s="361" customFormat="1" x14ac:dyDescent="0.25">
      <c r="B17" s="277">
        <f t="shared" si="1"/>
        <v>7</v>
      </c>
      <c r="C17" s="122" t="s">
        <v>336</v>
      </c>
      <c r="D17" s="131" t="s">
        <v>70</v>
      </c>
      <c r="E17" s="573">
        <v>1.9782259039067376</v>
      </c>
      <c r="F17" s="491">
        <f>G17</f>
        <v>1.8096577103726583</v>
      </c>
      <c r="G17" s="351">
        <f>'F5 (T)'!E85</f>
        <v>1.8096577103726583</v>
      </c>
      <c r="H17" s="351">
        <f t="shared" ref="H17:H29" si="3">G17-F17</f>
        <v>0</v>
      </c>
      <c r="I17" s="573">
        <v>3.4075018006518327</v>
      </c>
      <c r="J17" s="491">
        <f>K17</f>
        <v>2.0578432270087061</v>
      </c>
      <c r="K17" s="381">
        <f>'F5 (T)'!$J$85</f>
        <v>2.0578432270087061</v>
      </c>
      <c r="L17" s="351">
        <f>K17-J17</f>
        <v>0</v>
      </c>
      <c r="M17" s="573">
        <v>4.7436375049424733</v>
      </c>
      <c r="N17" s="491">
        <f>Q17</f>
        <v>3.5038906025318064</v>
      </c>
      <c r="O17" s="365">
        <f>Q17/2</f>
        <v>1.7519453012659032</v>
      </c>
      <c r="P17" s="518">
        <f>Q17/2</f>
        <v>1.7519453012659032</v>
      </c>
      <c r="Q17" s="365">
        <f>'F5 (T)'!$O$85</f>
        <v>3.5038906025318064</v>
      </c>
      <c r="R17" s="365">
        <f t="shared" si="0"/>
        <v>0</v>
      </c>
      <c r="S17" s="365">
        <f>'F5 (T)'!$T$85</f>
        <v>5.4682798663367684</v>
      </c>
      <c r="T17" s="365">
        <f>'F5 (T)'!E112</f>
        <v>6.8533782155987577</v>
      </c>
      <c r="U17" s="365">
        <f>'F5 (T)'!J112</f>
        <v>8.3682237155987576</v>
      </c>
      <c r="V17" s="365">
        <f>'F5 (T)'!O112</f>
        <v>11.110183073435957</v>
      </c>
      <c r="W17" s="365">
        <f>'F5 (T)'!T112</f>
        <v>12.558209740102626</v>
      </c>
      <c r="X17" s="365"/>
    </row>
    <row r="18" spans="2:24" s="361" customFormat="1" x14ac:dyDescent="0.25">
      <c r="B18" s="277">
        <f t="shared" si="1"/>
        <v>8</v>
      </c>
      <c r="C18" s="122" t="s">
        <v>873</v>
      </c>
      <c r="D18" s="131"/>
      <c r="E18" s="642">
        <v>2.5471741689040667E-2</v>
      </c>
      <c r="F18" s="491">
        <f t="shared" ref="F18:F19" si="4">G18</f>
        <v>5.4988478269809762E-3</v>
      </c>
      <c r="G18" s="638">
        <v>5.4988478269809762E-3</v>
      </c>
      <c r="H18" s="351">
        <f t="shared" si="3"/>
        <v>0</v>
      </c>
      <c r="I18" s="578">
        <v>2.9335724032066322E-2</v>
      </c>
      <c r="J18" s="491">
        <f t="shared" ref="J18:J19" si="5">K18</f>
        <v>7.568939603559346E-3</v>
      </c>
      <c r="K18" s="638">
        <v>7.568939603559346E-3</v>
      </c>
      <c r="L18" s="351">
        <f>K18-J18</f>
        <v>0</v>
      </c>
      <c r="M18" s="1108">
        <v>3.5594928355576524E-2</v>
      </c>
      <c r="N18" s="491">
        <f t="shared" ref="N18:N19" si="6">Q18</f>
        <v>1.0219026367686552E-2</v>
      </c>
      <c r="O18" s="936">
        <v>4.264983785394692E-3</v>
      </c>
      <c r="P18" s="936">
        <v>5.9540425822918602E-3</v>
      </c>
      <c r="Q18" s="365">
        <f>SUM(O18:P18)</f>
        <v>1.0219026367686552E-2</v>
      </c>
      <c r="R18" s="365">
        <f t="shared" si="0"/>
        <v>0</v>
      </c>
      <c r="S18" s="1108">
        <v>7.568939603559346E-3</v>
      </c>
      <c r="T18" s="1108">
        <v>7.568939603559346E-3</v>
      </c>
      <c r="U18" s="909">
        <v>7.568939603559346E-3</v>
      </c>
      <c r="V18" s="909">
        <v>7.568939603559346E-3</v>
      </c>
      <c r="W18" s="909">
        <v>7.568939603559346E-3</v>
      </c>
      <c r="X18" s="365"/>
    </row>
    <row r="19" spans="2:24" s="361" customFormat="1" x14ac:dyDescent="0.25">
      <c r="B19" s="277">
        <f t="shared" si="1"/>
        <v>9</v>
      </c>
      <c r="C19" s="121" t="s">
        <v>335</v>
      </c>
      <c r="D19" s="131" t="s">
        <v>71</v>
      </c>
      <c r="E19" s="957">
        <f>'F6'!D25</f>
        <v>0.52998252574320692</v>
      </c>
      <c r="F19" s="491">
        <f t="shared" si="4"/>
        <v>0.59873636114476148</v>
      </c>
      <c r="G19" s="351">
        <f>'F6'!$E$25</f>
        <v>0.59873636114476148</v>
      </c>
      <c r="H19" s="351">
        <f t="shared" si="3"/>
        <v>0</v>
      </c>
      <c r="I19" s="958">
        <f>'F6'!G25</f>
        <v>1.8125313723436671</v>
      </c>
      <c r="J19" s="491">
        <f t="shared" si="5"/>
        <v>1.1428177499030125</v>
      </c>
      <c r="K19" s="351">
        <f>'F6'!$H$25</f>
        <v>1.1428177499030125</v>
      </c>
      <c r="L19" s="351">
        <f>K19-J19</f>
        <v>0</v>
      </c>
      <c r="M19" s="958">
        <f>'F6'!J25</f>
        <v>3.4121788687565222</v>
      </c>
      <c r="N19" s="491">
        <f t="shared" si="6"/>
        <v>2.8681512289879016</v>
      </c>
      <c r="O19" s="517">
        <f>'F6'!$K$25/2</f>
        <v>1.4340756144939508</v>
      </c>
      <c r="P19" s="518">
        <f>O19</f>
        <v>1.4340756144939508</v>
      </c>
      <c r="Q19" s="365">
        <f>SUM(O19:P19)</f>
        <v>2.8681512289879016</v>
      </c>
      <c r="R19" s="365">
        <f t="shared" si="0"/>
        <v>0</v>
      </c>
      <c r="S19" s="365">
        <f>'F6'!$M$25</f>
        <v>5.7395441977097486</v>
      </c>
      <c r="T19" s="365">
        <f>'F6'!$N$25</f>
        <v>7.6142624560766912</v>
      </c>
      <c r="U19" s="365">
        <f>'F6'!$O$25</f>
        <v>9.449350772819832</v>
      </c>
      <c r="V19" s="365">
        <f>'F6'!$P$25</f>
        <v>11.152454170372755</v>
      </c>
      <c r="W19" s="365">
        <f>'F6'!$Q$25</f>
        <v>12.203203977347927</v>
      </c>
      <c r="X19" s="365"/>
    </row>
    <row r="20" spans="2:24" s="361" customFormat="1" x14ac:dyDescent="0.25">
      <c r="B20" s="277">
        <f t="shared" si="1"/>
        <v>10</v>
      </c>
      <c r="C20" s="23" t="s">
        <v>1442</v>
      </c>
      <c r="D20" s="131"/>
      <c r="E20" s="958"/>
      <c r="F20" s="936">
        <f>G20</f>
        <v>1.9075554594746711E-4</v>
      </c>
      <c r="G20" s="935">
        <v>1.9075554594746711E-4</v>
      </c>
      <c r="H20" s="935"/>
      <c r="I20" s="958"/>
      <c r="J20" s="936">
        <f>K20</f>
        <v>4.4375762114148013E-4</v>
      </c>
      <c r="K20" s="1108">
        <v>4.4375762114148013E-4</v>
      </c>
      <c r="L20" s="1108"/>
      <c r="M20" s="958"/>
      <c r="N20" s="1108">
        <f>Q20</f>
        <v>1.2879019205921248E-3</v>
      </c>
      <c r="O20" s="1108">
        <v>6.4395096029606241E-4</v>
      </c>
      <c r="P20" s="1108">
        <v>6.4395096029606241E-4</v>
      </c>
      <c r="Q20" s="1108">
        <v>1.2879019205921248E-3</v>
      </c>
      <c r="R20" s="1108"/>
      <c r="S20" s="1108">
        <v>2.4412475361802236E-3</v>
      </c>
      <c r="T20" s="1108">
        <v>2.9785055371511515E-3</v>
      </c>
      <c r="U20" s="935">
        <v>3.4526152586460738E-3</v>
      </c>
      <c r="V20" s="935">
        <v>3.9414811623263157E-3</v>
      </c>
      <c r="W20" s="935">
        <v>4.2372121330697728E-3</v>
      </c>
      <c r="X20" s="365"/>
    </row>
    <row r="21" spans="2:24" s="361" customFormat="1" x14ac:dyDescent="0.25">
      <c r="B21" s="277">
        <f t="shared" si="1"/>
        <v>11</v>
      </c>
      <c r="C21" s="122" t="s">
        <v>86</v>
      </c>
      <c r="D21" s="131" t="s">
        <v>361</v>
      </c>
      <c r="E21" s="480">
        <v>5.1856252286806299</v>
      </c>
      <c r="F21" s="491">
        <f>'F2.7'!F17</f>
        <v>7.3423532506193618</v>
      </c>
      <c r="G21" s="491">
        <f>'F2.7'!$F$19</f>
        <v>19.024224697601021</v>
      </c>
      <c r="H21" s="491">
        <f t="shared" ref="H21" si="7">G21-F21</f>
        <v>11.68187144698166</v>
      </c>
      <c r="I21" s="491">
        <f>'F2.7'!G17</f>
        <v>5.5543395665325672</v>
      </c>
      <c r="J21" s="491">
        <f>'F2.7'!H17</f>
        <v>11.315747152428342</v>
      </c>
      <c r="K21" s="491">
        <f>'F2.7'!H19</f>
        <v>25.539280766884744</v>
      </c>
      <c r="L21" s="491">
        <f t="shared" ref="L21" si="8">K21-J21</f>
        <v>14.223533614456402</v>
      </c>
      <c r="M21" s="491">
        <f>'F2.7'!I17</f>
        <v>5.835538005787047</v>
      </c>
      <c r="N21" s="491">
        <f ca="1">'F2.7'!J17</f>
        <v>12.447189709988672</v>
      </c>
      <c r="O21" s="543">
        <f ca="1">Q21/2</f>
        <v>6.2235948549943361</v>
      </c>
      <c r="P21" s="544">
        <f ca="1">O21</f>
        <v>6.2235948549943361</v>
      </c>
      <c r="Q21" s="480">
        <f ca="1">N21</f>
        <v>12.447189709988672</v>
      </c>
      <c r="R21" s="480">
        <f ca="1">Q21-N21</f>
        <v>0</v>
      </c>
      <c r="S21" s="480">
        <f ca="1">'F2.7'!E36</f>
        <v>7.2177822165389234</v>
      </c>
      <c r="T21" s="480">
        <f ca="1">'F2.7'!F36</f>
        <v>7.6539993793750938</v>
      </c>
      <c r="U21" s="480">
        <f ca="1">'F2.7'!G36</f>
        <v>8.0143784656348274</v>
      </c>
      <c r="V21" s="480">
        <f ca="1">'F2.7'!H36</f>
        <v>8.1501040543066381</v>
      </c>
      <c r="W21" s="480">
        <f ca="1">'F2.7'!I36</f>
        <v>8.3743940213887367</v>
      </c>
      <c r="X21" s="365"/>
    </row>
    <row r="22" spans="2:24" s="361" customFormat="1" x14ac:dyDescent="0.25">
      <c r="B22" s="277">
        <f t="shared" si="1"/>
        <v>12</v>
      </c>
      <c r="C22" s="104" t="s">
        <v>1441</v>
      </c>
      <c r="D22" s="131"/>
      <c r="E22" s="480"/>
      <c r="F22" s="491"/>
      <c r="G22" s="491"/>
      <c r="H22" s="491"/>
      <c r="I22" s="491"/>
      <c r="J22" s="491"/>
      <c r="K22" s="491"/>
      <c r="L22" s="491"/>
      <c r="M22" s="491"/>
      <c r="N22" s="491"/>
      <c r="O22" s="543"/>
      <c r="P22" s="544"/>
      <c r="Q22" s="480"/>
      <c r="R22" s="480"/>
      <c r="S22" s="480"/>
      <c r="T22" s="480"/>
      <c r="U22" s="480"/>
      <c r="V22" s="480"/>
      <c r="W22" s="480"/>
      <c r="X22" s="365"/>
    </row>
    <row r="23" spans="2:24" s="361" customFormat="1" x14ac:dyDescent="0.25">
      <c r="B23" s="277">
        <f t="shared" si="1"/>
        <v>13</v>
      </c>
      <c r="C23" s="122" t="s">
        <v>87</v>
      </c>
      <c r="D23" s="131" t="s">
        <v>76</v>
      </c>
      <c r="E23" s="573">
        <f>'F10'!D27</f>
        <v>233.54900584872681</v>
      </c>
      <c r="F23" s="351">
        <f>G23</f>
        <v>234.29108835299999</v>
      </c>
      <c r="G23" s="351">
        <f>'F10'!E27</f>
        <v>234.29108835299999</v>
      </c>
      <c r="H23" s="351">
        <f t="shared" si="3"/>
        <v>0</v>
      </c>
      <c r="I23" s="351">
        <f>'F10'!G27</f>
        <v>233.50378439325468</v>
      </c>
      <c r="J23" s="351">
        <f>K23</f>
        <v>230.48348968799999</v>
      </c>
      <c r="K23" s="351">
        <f>'F10'!H27</f>
        <v>230.48348968799999</v>
      </c>
      <c r="L23" s="351">
        <f>K23-J23</f>
        <v>0</v>
      </c>
      <c r="M23" s="573">
        <f>'F10'!J27</f>
        <v>226.59932081807082</v>
      </c>
      <c r="N23" s="351">
        <f>Q23</f>
        <v>228.21200000471995</v>
      </c>
      <c r="O23" s="365">
        <f>'F10'!K27</f>
        <v>114.10600000235998</v>
      </c>
      <c r="P23" s="365">
        <f>'F10'!L27</f>
        <v>114.10600000235998</v>
      </c>
      <c r="Q23" s="365">
        <f t="shared" ref="Q23:Q29" si="9">O23+P23</f>
        <v>228.21200000471995</v>
      </c>
      <c r="R23" s="365">
        <f t="shared" ref="R23:R29" si="10">Q23-N23</f>
        <v>0</v>
      </c>
      <c r="S23" s="365">
        <f>'F10'!O27</f>
        <v>226.719289688</v>
      </c>
      <c r="T23" s="365">
        <f>'F10'!P27</f>
        <v>238.283289688</v>
      </c>
      <c r="U23" s="365">
        <f>'F10'!Q27</f>
        <v>243.90008968799998</v>
      </c>
      <c r="V23" s="365">
        <f>'F10'!R27</f>
        <v>229.30348968799998</v>
      </c>
      <c r="W23" s="365">
        <f>'F10'!S27</f>
        <v>225.99948968800001</v>
      </c>
      <c r="X23" s="365"/>
    </row>
    <row r="24" spans="2:24" s="361" customFormat="1" x14ac:dyDescent="0.25">
      <c r="B24" s="277">
        <f t="shared" si="1"/>
        <v>14</v>
      </c>
      <c r="C24" s="121" t="s">
        <v>88</v>
      </c>
      <c r="D24" s="131" t="s">
        <v>324</v>
      </c>
      <c r="E24" s="573">
        <f>F24</f>
        <v>0</v>
      </c>
      <c r="F24" s="351"/>
      <c r="G24" s="351">
        <f>'F12'!$E$94</f>
        <v>0</v>
      </c>
      <c r="H24" s="351">
        <f>G24-F24</f>
        <v>0</v>
      </c>
      <c r="I24" s="573">
        <f>J24</f>
        <v>0</v>
      </c>
      <c r="J24" s="351"/>
      <c r="K24" s="351">
        <f>'F12'!$F$94</f>
        <v>0</v>
      </c>
      <c r="L24" s="351">
        <f t="shared" si="2"/>
        <v>0</v>
      </c>
      <c r="M24" s="573">
        <f>N24</f>
        <v>0</v>
      </c>
      <c r="N24" s="351"/>
      <c r="O24" s="517">
        <f>'F12'!$G$94</f>
        <v>0</v>
      </c>
      <c r="P24" s="518"/>
      <c r="Q24" s="365">
        <f t="shared" si="9"/>
        <v>0</v>
      </c>
      <c r="R24" s="365">
        <f t="shared" si="10"/>
        <v>0</v>
      </c>
      <c r="S24" s="365">
        <f>'F12'!$H$94</f>
        <v>0</v>
      </c>
      <c r="T24" s="365">
        <f>'F12'!$I$94</f>
        <v>0</v>
      </c>
      <c r="U24" s="365">
        <f>'F12'!$I$94</f>
        <v>0</v>
      </c>
      <c r="V24" s="365">
        <f>'F12'!$I$94</f>
        <v>0</v>
      </c>
      <c r="W24" s="365">
        <f>'F12'!$I$94</f>
        <v>0</v>
      </c>
      <c r="X24" s="365"/>
    </row>
    <row r="25" spans="2:24" s="361" customFormat="1" x14ac:dyDescent="0.25">
      <c r="B25" s="277">
        <f t="shared" si="1"/>
        <v>15</v>
      </c>
      <c r="C25" s="121" t="s">
        <v>1413</v>
      </c>
      <c r="D25" s="131"/>
      <c r="E25" s="573"/>
      <c r="F25" s="351">
        <f>G25</f>
        <v>0</v>
      </c>
      <c r="G25" s="351">
        <v>0</v>
      </c>
      <c r="H25" s="351"/>
      <c r="I25" s="573"/>
      <c r="J25" s="351">
        <f>K25</f>
        <v>0</v>
      </c>
      <c r="K25" s="351">
        <v>0</v>
      </c>
      <c r="L25" s="351"/>
      <c r="M25" s="573"/>
      <c r="N25" s="351">
        <f>Q25</f>
        <v>0</v>
      </c>
      <c r="O25" s="351">
        <f>Q25/2</f>
        <v>0</v>
      </c>
      <c r="P25" s="351">
        <f>O25</f>
        <v>0</v>
      </c>
      <c r="Q25" s="351"/>
      <c r="R25" s="365"/>
      <c r="S25" s="365"/>
      <c r="T25" s="365"/>
      <c r="U25" s="365"/>
      <c r="V25" s="365"/>
      <c r="W25" s="365"/>
      <c r="X25" s="365"/>
    </row>
    <row r="26" spans="2:24" s="361" customFormat="1" x14ac:dyDescent="0.25">
      <c r="B26" s="277">
        <f t="shared" si="1"/>
        <v>16</v>
      </c>
      <c r="C26" s="280" t="s">
        <v>89</v>
      </c>
      <c r="D26" s="545"/>
      <c r="E26" s="571">
        <f t="shared" ref="E26:P26" si="11">SUM(E11:E25)</f>
        <v>355.99886118629922</v>
      </c>
      <c r="F26" s="571">
        <f t="shared" si="11"/>
        <v>376.6590847804124</v>
      </c>
      <c r="G26" s="571">
        <f t="shared" si="11"/>
        <v>381.30090240507189</v>
      </c>
      <c r="H26" s="571">
        <f t="shared" si="11"/>
        <v>4.641817624659538</v>
      </c>
      <c r="I26" s="571">
        <f t="shared" si="11"/>
        <v>372.14140080687952</v>
      </c>
      <c r="J26" s="571">
        <f t="shared" si="11"/>
        <v>405.45851884385252</v>
      </c>
      <c r="K26" s="571">
        <f t="shared" si="11"/>
        <v>451.20719902491919</v>
      </c>
      <c r="L26" s="571">
        <f t="shared" si="11"/>
        <v>45.748680181066604</v>
      </c>
      <c r="M26" s="571">
        <f t="shared" si="11"/>
        <v>361.0542708858917</v>
      </c>
      <c r="N26" s="571">
        <f t="shared" ca="1" si="11"/>
        <v>414.20193095578355</v>
      </c>
      <c r="O26" s="571">
        <f t="shared" ca="1" si="11"/>
        <v>201.91956566150802</v>
      </c>
      <c r="P26" s="571">
        <f t="shared" ca="1" si="11"/>
        <v>201.00375523187631</v>
      </c>
      <c r="Q26" s="571">
        <f ca="1">SUM(Q11:Q25)</f>
        <v>402.92332089338436</v>
      </c>
      <c r="R26" s="571">
        <f t="shared" ref="R26" ca="1" si="12">SUM(R11:R24)</f>
        <v>-11.278610062399224</v>
      </c>
      <c r="S26" s="571">
        <f ca="1">SUM(S11:S25)</f>
        <v>430.38008482284852</v>
      </c>
      <c r="T26" s="571">
        <f t="shared" ref="T26:W26" ca="1" si="13">SUM(T11:T25)</f>
        <v>453.99884957972688</v>
      </c>
      <c r="U26" s="571">
        <f t="shared" ca="1" si="13"/>
        <v>474.26879844487695</v>
      </c>
      <c r="V26" s="571">
        <f t="shared" ca="1" si="13"/>
        <v>472.41923733389052</v>
      </c>
      <c r="W26" s="571">
        <f t="shared" ca="1" si="13"/>
        <v>480.36011273566709</v>
      </c>
      <c r="X26" s="365"/>
    </row>
    <row r="27" spans="2:24" s="361" customFormat="1" x14ac:dyDescent="0.25">
      <c r="B27" s="277">
        <f t="shared" si="1"/>
        <v>17</v>
      </c>
      <c r="C27" s="121" t="s">
        <v>90</v>
      </c>
      <c r="D27" s="131" t="s">
        <v>73</v>
      </c>
      <c r="E27" s="573">
        <f>'F7'!$D$22</f>
        <v>1.2573195463205109</v>
      </c>
      <c r="F27" s="351">
        <f>G27</f>
        <v>1.2272854703262555</v>
      </c>
      <c r="G27" s="351">
        <f>'F7'!E22</f>
        <v>1.2272854703262555</v>
      </c>
      <c r="H27" s="351">
        <f t="shared" si="3"/>
        <v>0</v>
      </c>
      <c r="I27" s="573">
        <f>'F7'!$G$22</f>
        <v>2.0734034863205109</v>
      </c>
      <c r="J27" s="351">
        <f>K27</f>
        <v>1.6050266686542656</v>
      </c>
      <c r="K27" s="351">
        <f>'F7'!H22</f>
        <v>1.6050266686542656</v>
      </c>
      <c r="L27" s="351">
        <f t="shared" si="2"/>
        <v>0</v>
      </c>
      <c r="M27" s="573">
        <f>'F7'!$J$22</f>
        <v>3.0032834863205107</v>
      </c>
      <c r="N27" s="351">
        <f>Q27</f>
        <v>2.760230421276531</v>
      </c>
      <c r="O27" s="365">
        <f>'F7'!K22/2</f>
        <v>1.3801152106382655</v>
      </c>
      <c r="P27" s="365">
        <f>'F7'!K22/2</f>
        <v>1.3801152106382655</v>
      </c>
      <c r="Q27" s="365">
        <f t="shared" si="9"/>
        <v>2.760230421276531</v>
      </c>
      <c r="R27" s="365">
        <f t="shared" si="10"/>
        <v>0</v>
      </c>
      <c r="S27" s="365">
        <f>'F7'!D65</f>
        <v>5.1915048884597317</v>
      </c>
      <c r="T27" s="365">
        <f>'F7'!E65</f>
        <v>6.8004750259597309</v>
      </c>
      <c r="U27" s="365">
        <f>'F7'!F65</f>
        <v>8.480403775959731</v>
      </c>
      <c r="V27" s="365">
        <f>'F7'!G65</f>
        <v>10.217256275959732</v>
      </c>
      <c r="W27" s="365">
        <f>'F7'!H65</f>
        <v>11.675806275959733</v>
      </c>
      <c r="X27" s="365"/>
    </row>
    <row r="28" spans="2:24" s="361" customFormat="1" x14ac:dyDescent="0.25">
      <c r="B28" s="277">
        <f t="shared" si="1"/>
        <v>18</v>
      </c>
      <c r="C28" s="23" t="s">
        <v>1443</v>
      </c>
      <c r="D28" s="131"/>
      <c r="E28" s="573"/>
      <c r="F28" s="936">
        <f>G28</f>
        <v>2.2662410384465741E-4</v>
      </c>
      <c r="G28" s="936">
        <v>2.2662410384465741E-4</v>
      </c>
      <c r="H28" s="935"/>
      <c r="I28" s="573"/>
      <c r="J28" s="936">
        <f>K28</f>
        <v>3.3807560910885018E-4</v>
      </c>
      <c r="K28" s="936">
        <v>3.3807560910885018E-4</v>
      </c>
      <c r="L28" s="935"/>
      <c r="M28" s="573"/>
      <c r="N28" s="935">
        <f>Q28</f>
        <v>6.4084988573685764E-4</v>
      </c>
      <c r="O28" s="936">
        <v>3.2042494286842882E-4</v>
      </c>
      <c r="P28" s="936">
        <v>3.2042494286842882E-4</v>
      </c>
      <c r="Q28" s="936">
        <v>6.4084988573685764E-4</v>
      </c>
      <c r="R28" s="935"/>
      <c r="S28" s="936">
        <v>1.0225255143679222E-3</v>
      </c>
      <c r="T28" s="936">
        <v>1.2544014969057202E-3</v>
      </c>
      <c r="U28" s="936">
        <v>1.4847525040292322E-3</v>
      </c>
      <c r="V28" s="936">
        <v>1.7206560772450878E-3</v>
      </c>
      <c r="W28" s="936">
        <v>1.9053454080774389E-3</v>
      </c>
      <c r="X28" s="365"/>
    </row>
    <row r="29" spans="2:24" s="361" customFormat="1" x14ac:dyDescent="0.25">
      <c r="B29" s="277">
        <f t="shared" si="1"/>
        <v>19</v>
      </c>
      <c r="C29" s="121" t="s">
        <v>91</v>
      </c>
      <c r="D29" s="131" t="s">
        <v>77</v>
      </c>
      <c r="E29" s="573">
        <f>'F11'!$D$27</f>
        <v>0.31944613270189304</v>
      </c>
      <c r="F29" s="351">
        <f>G29</f>
        <v>0.32893613300000002</v>
      </c>
      <c r="G29" s="351">
        <f>'F11'!E27</f>
        <v>0.32893613300000002</v>
      </c>
      <c r="H29" s="351">
        <f t="shared" si="3"/>
        <v>0</v>
      </c>
      <c r="I29" s="573">
        <f>'F11'!$G$27</f>
        <v>0.18799965607291599</v>
      </c>
      <c r="J29" s="351">
        <f>K29</f>
        <v>0.35476495899999999</v>
      </c>
      <c r="K29" s="351">
        <f>'F11'!H27</f>
        <v>0.35476495899999999</v>
      </c>
      <c r="L29" s="351">
        <f t="shared" si="2"/>
        <v>0</v>
      </c>
      <c r="M29" s="573">
        <f>'F11'!$J$27</f>
        <v>0.18799965607291599</v>
      </c>
      <c r="N29" s="351">
        <f>Q29</f>
        <v>0.35476495899999999</v>
      </c>
      <c r="O29" s="351">
        <f>'F11'!K27</f>
        <v>0.1773824795</v>
      </c>
      <c r="P29" s="351">
        <f>'F11'!L27</f>
        <v>0.1773824795</v>
      </c>
      <c r="Q29" s="365">
        <f t="shared" si="9"/>
        <v>0.35476495899999999</v>
      </c>
      <c r="R29" s="365">
        <f t="shared" si="10"/>
        <v>0</v>
      </c>
      <c r="S29" s="365">
        <f>'F11'!O27</f>
        <v>0.35476495899999999</v>
      </c>
      <c r="T29" s="365">
        <f>'F11'!P27</f>
        <v>0.35476495899999999</v>
      </c>
      <c r="U29" s="365">
        <f>'F11'!Q27</f>
        <v>0.35476495899999999</v>
      </c>
      <c r="V29" s="365">
        <f>'F11'!R27</f>
        <v>0.35476495899999999</v>
      </c>
      <c r="W29" s="365">
        <f>'F11'!S27</f>
        <v>0.35476495899999999</v>
      </c>
      <c r="X29" s="365"/>
    </row>
    <row r="30" spans="2:24" s="361" customFormat="1" x14ac:dyDescent="0.25">
      <c r="B30" s="277">
        <f t="shared" si="1"/>
        <v>20</v>
      </c>
      <c r="C30" s="280" t="s">
        <v>92</v>
      </c>
      <c r="D30" s="131"/>
      <c r="E30" s="571">
        <f>E26+E27-E29+E28</f>
        <v>356.93673459991783</v>
      </c>
      <c r="F30" s="571">
        <f t="shared" ref="F30:W30" si="14">F26+F27-F29+F28</f>
        <v>377.55766074184248</v>
      </c>
      <c r="G30" s="571">
        <f t="shared" si="14"/>
        <v>382.19947836650198</v>
      </c>
      <c r="H30" s="571">
        <f t="shared" si="14"/>
        <v>4.641817624659538</v>
      </c>
      <c r="I30" s="571">
        <f t="shared" si="14"/>
        <v>374.0268046371271</v>
      </c>
      <c r="J30" s="571">
        <f t="shared" si="14"/>
        <v>406.70911862911589</v>
      </c>
      <c r="K30" s="571">
        <f t="shared" si="14"/>
        <v>452.45779881018257</v>
      </c>
      <c r="L30" s="571">
        <f t="shared" si="14"/>
        <v>45.748680181066604</v>
      </c>
      <c r="M30" s="571">
        <f t="shared" si="14"/>
        <v>363.86955471613931</v>
      </c>
      <c r="N30" s="571">
        <f t="shared" ca="1" si="14"/>
        <v>416.60803726794575</v>
      </c>
      <c r="O30" s="571">
        <f t="shared" ca="1" si="14"/>
        <v>203.12261881758911</v>
      </c>
      <c r="P30" s="571">
        <f t="shared" ca="1" si="14"/>
        <v>202.20680838795741</v>
      </c>
      <c r="Q30" s="571">
        <f ca="1">Q26+Q27-Q29+Q28</f>
        <v>405.32942720554655</v>
      </c>
      <c r="R30" s="571">
        <f t="shared" ca="1" si="14"/>
        <v>-11.278610062399224</v>
      </c>
      <c r="S30" s="571">
        <f t="shared" ca="1" si="14"/>
        <v>435.21784727782261</v>
      </c>
      <c r="T30" s="571">
        <f ca="1">T26+T27-T29+T28</f>
        <v>460.44581404818348</v>
      </c>
      <c r="U30" s="571">
        <f t="shared" ca="1" si="14"/>
        <v>482.39592201434073</v>
      </c>
      <c r="V30" s="571">
        <f ca="1">V26+V27-V29+V28</f>
        <v>482.28344930692748</v>
      </c>
      <c r="W30" s="571">
        <f t="shared" ca="1" si="14"/>
        <v>491.68305939803491</v>
      </c>
      <c r="X30" s="365"/>
    </row>
    <row r="31" spans="2:24" s="419" customFormat="1" x14ac:dyDescent="0.25">
      <c r="E31" s="551"/>
      <c r="F31" s="552"/>
      <c r="G31" s="420"/>
      <c r="H31" s="551"/>
      <c r="I31" s="551"/>
      <c r="J31" s="552"/>
      <c r="K31" s="420"/>
      <c r="N31" s="420"/>
      <c r="Q31" s="420"/>
      <c r="S31" s="420"/>
      <c r="T31" s="420"/>
      <c r="U31" s="420"/>
      <c r="V31" s="420"/>
      <c r="W31" s="420"/>
    </row>
    <row r="32" spans="2:24" x14ac:dyDescent="0.25">
      <c r="F32" s="418"/>
      <c r="G32" s="1124"/>
      <c r="J32" s="418"/>
      <c r="N32" s="418"/>
      <c r="Q32" s="418"/>
      <c r="S32" s="418"/>
      <c r="T32" s="418"/>
      <c r="U32" s="418"/>
      <c r="V32" s="418"/>
      <c r="W32" s="418"/>
    </row>
    <row r="33" spans="2:16" x14ac:dyDescent="0.25">
      <c r="G33" s="420"/>
      <c r="H33" s="419"/>
      <c r="I33" s="419"/>
      <c r="J33" s="419"/>
      <c r="K33" s="420">
        <v>0</v>
      </c>
      <c r="L33" s="419"/>
      <c r="M33" s="419"/>
      <c r="N33" s="419"/>
      <c r="O33" s="420"/>
      <c r="P33" s="420"/>
    </row>
    <row r="34" spans="2:16" x14ac:dyDescent="0.25">
      <c r="B34" s="13" t="s">
        <v>1455</v>
      </c>
    </row>
    <row r="37" spans="2:16" x14ac:dyDescent="0.25">
      <c r="C37" s="61"/>
      <c r="E37" s="418"/>
      <c r="I37" s="418"/>
      <c r="M37" s="418"/>
    </row>
    <row r="38" spans="2:16" x14ac:dyDescent="0.25">
      <c r="C38" s="1085"/>
      <c r="E38" s="418"/>
      <c r="I38" s="418"/>
      <c r="M38" s="418"/>
    </row>
    <row r="39" spans="2:16" x14ac:dyDescent="0.25">
      <c r="C39" s="1086"/>
      <c r="E39" s="418"/>
      <c r="I39" s="418"/>
      <c r="M39" s="418"/>
    </row>
    <row r="40" spans="2:16" x14ac:dyDescent="0.25">
      <c r="C40" s="1086"/>
      <c r="E40" s="418"/>
      <c r="I40" s="418"/>
      <c r="M40" s="418"/>
    </row>
    <row r="41" spans="2:16" x14ac:dyDescent="0.25">
      <c r="C41" s="1087"/>
      <c r="E41" s="418"/>
      <c r="I41" s="418"/>
      <c r="M41" s="418"/>
    </row>
    <row r="42" spans="2:16" x14ac:dyDescent="0.25">
      <c r="C42" s="1087"/>
      <c r="E42" s="418"/>
      <c r="I42" s="418"/>
      <c r="M42" s="418"/>
    </row>
    <row r="43" spans="2:16" x14ac:dyDescent="0.25">
      <c r="C43" s="61"/>
      <c r="E43" s="418"/>
      <c r="I43" s="418"/>
      <c r="M43" s="418"/>
    </row>
    <row r="44" spans="2:16" x14ac:dyDescent="0.25">
      <c r="C44" s="257"/>
      <c r="E44" s="418"/>
      <c r="I44" s="418"/>
      <c r="M44" s="418"/>
    </row>
    <row r="45" spans="2:16" x14ac:dyDescent="0.25">
      <c r="C45" s="1087"/>
      <c r="E45" s="418"/>
      <c r="I45" s="418"/>
      <c r="M45" s="418"/>
    </row>
    <row r="46" spans="2:16" x14ac:dyDescent="0.25">
      <c r="C46" s="1088"/>
      <c r="E46" s="418"/>
      <c r="I46" s="418"/>
      <c r="M46" s="418"/>
    </row>
    <row r="47" spans="2:16" x14ac:dyDescent="0.25">
      <c r="C47" s="1087"/>
      <c r="E47" s="418"/>
      <c r="I47" s="418"/>
      <c r="M47" s="418"/>
    </row>
    <row r="48" spans="2:16" x14ac:dyDescent="0.25">
      <c r="C48" s="61"/>
      <c r="E48" s="418"/>
      <c r="I48" s="418"/>
      <c r="M48" s="418"/>
    </row>
    <row r="49" spans="3:13" x14ac:dyDescent="0.25">
      <c r="C49" s="61"/>
      <c r="E49" s="418"/>
      <c r="I49" s="418"/>
      <c r="M49" s="418"/>
    </row>
    <row r="50" spans="3:13" x14ac:dyDescent="0.25">
      <c r="C50" s="1089"/>
      <c r="E50" s="418"/>
      <c r="I50" s="418"/>
      <c r="M50" s="418"/>
    </row>
    <row r="51" spans="3:13" x14ac:dyDescent="0.25">
      <c r="C51" s="61"/>
      <c r="E51" s="418"/>
      <c r="I51" s="418"/>
      <c r="M51" s="418"/>
    </row>
    <row r="52" spans="3:13" x14ac:dyDescent="0.25">
      <c r="C52" s="257"/>
      <c r="E52" s="418"/>
      <c r="I52" s="418"/>
      <c r="M52" s="418"/>
    </row>
    <row r="53" spans="3:13" x14ac:dyDescent="0.25">
      <c r="C53" s="61"/>
      <c r="E53" s="418"/>
      <c r="I53" s="418"/>
      <c r="M53" s="418"/>
    </row>
    <row r="54" spans="3:13" x14ac:dyDescent="0.25">
      <c r="C54" s="1089"/>
      <c r="E54" s="418"/>
      <c r="I54" s="418"/>
      <c r="M54" s="418"/>
    </row>
    <row r="55" spans="3:13" x14ac:dyDescent="0.25">
      <c r="C55" s="257"/>
      <c r="E55" s="418"/>
      <c r="I55" s="418"/>
      <c r="M55" s="418"/>
    </row>
    <row r="56" spans="3:13" x14ac:dyDescent="0.25">
      <c r="C56" s="257"/>
    </row>
  </sheetData>
  <mergeCells count="11">
    <mergeCell ref="B2:X2"/>
    <mergeCell ref="B3:X3"/>
    <mergeCell ref="B4:X4"/>
    <mergeCell ref="B7:B9"/>
    <mergeCell ref="C7:C9"/>
    <mergeCell ref="D7:D9"/>
    <mergeCell ref="X7:X9"/>
    <mergeCell ref="E7:H7"/>
    <mergeCell ref="I7:L7"/>
    <mergeCell ref="M7:R7"/>
    <mergeCell ref="S7:W7"/>
  </mergeCells>
  <pageMargins left="0.23" right="0.23" top="0.92" bottom="1" header="0.5" footer="0.5"/>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9"/>
  <sheetViews>
    <sheetView view="pageBreakPreview" zoomScale="90" zoomScaleNormal="75" zoomScaleSheetLayoutView="90" workbookViewId="0">
      <selection activeCell="E10" sqref="E10"/>
    </sheetView>
  </sheetViews>
  <sheetFormatPr defaultColWidth="9.36328125" defaultRowHeight="14" x14ac:dyDescent="0.3"/>
  <cols>
    <col min="1" max="1" width="8.36328125" style="180" customWidth="1"/>
    <col min="2" max="2" width="54" style="180" bestFit="1" customWidth="1"/>
    <col min="3" max="3" width="16.453125" style="180" customWidth="1"/>
    <col min="4" max="16" width="13.6328125" style="180" customWidth="1"/>
    <col min="17" max="17" width="12.54296875" style="180" customWidth="1"/>
    <col min="18" max="16384" width="9.36328125" style="180"/>
  </cols>
  <sheetData>
    <row r="1" spans="1:17" x14ac:dyDescent="0.3">
      <c r="A1" s="177"/>
      <c r="B1" s="178"/>
      <c r="C1" s="179"/>
    </row>
    <row r="2" spans="1:17" x14ac:dyDescent="0.3">
      <c r="A2" s="1481" t="str">
        <f>Index!B2</f>
        <v xml:space="preserve">      Maharashtra State Power Generation Company Ltd.</v>
      </c>
      <c r="B2" s="1482"/>
      <c r="C2" s="1482"/>
      <c r="D2" s="1482"/>
      <c r="E2" s="1482"/>
      <c r="F2" s="1482"/>
      <c r="G2" s="1482"/>
      <c r="H2" s="1482"/>
      <c r="I2" s="1482"/>
      <c r="J2" s="1482"/>
      <c r="K2" s="1482"/>
      <c r="L2" s="1482"/>
      <c r="M2" s="1482"/>
      <c r="N2" s="1482"/>
      <c r="O2" s="1482"/>
      <c r="P2" s="1482"/>
      <c r="Q2" s="1482"/>
    </row>
    <row r="3" spans="1:17" x14ac:dyDescent="0.3">
      <c r="A3" s="1481" t="str">
        <f>Index!B3</f>
        <v>MYT Petition Formats for SHP Hydro</v>
      </c>
      <c r="B3" s="1482"/>
      <c r="C3" s="1482"/>
      <c r="D3" s="1482"/>
      <c r="E3" s="1482"/>
      <c r="F3" s="1482"/>
      <c r="G3" s="1482"/>
      <c r="H3" s="1482"/>
      <c r="I3" s="1482"/>
      <c r="J3" s="1482"/>
      <c r="K3" s="1482"/>
      <c r="L3" s="1482"/>
      <c r="M3" s="1482"/>
      <c r="N3" s="1482"/>
      <c r="O3" s="1482"/>
      <c r="P3" s="1482"/>
      <c r="Q3" s="1482"/>
    </row>
    <row r="4" spans="1:17" x14ac:dyDescent="0.3">
      <c r="A4" s="1483" t="s">
        <v>375</v>
      </c>
      <c r="B4" s="1482"/>
      <c r="C4" s="1482"/>
      <c r="D4" s="1482"/>
      <c r="E4" s="1482"/>
      <c r="F4" s="1482"/>
      <c r="G4" s="1482"/>
      <c r="H4" s="1482"/>
      <c r="I4" s="1482"/>
      <c r="J4" s="1482"/>
      <c r="K4" s="1482"/>
      <c r="L4" s="1482"/>
      <c r="M4" s="1482"/>
      <c r="N4" s="1482"/>
      <c r="O4" s="1482"/>
      <c r="P4" s="1482"/>
      <c r="Q4" s="1482"/>
    </row>
    <row r="5" spans="1:17" s="265" customFormat="1" ht="36" customHeight="1" x14ac:dyDescent="0.3">
      <c r="A5" s="181"/>
      <c r="B5" s="179"/>
      <c r="C5" s="179"/>
      <c r="E5" s="334"/>
      <c r="F5" s="566"/>
      <c r="G5" s="180"/>
      <c r="H5" s="180"/>
      <c r="I5" s="180"/>
      <c r="J5" s="180"/>
      <c r="K5" s="180"/>
      <c r="L5" s="180"/>
      <c r="M5" s="186"/>
      <c r="N5" s="186"/>
      <c r="O5" s="186"/>
      <c r="P5" s="186"/>
      <c r="Q5" s="180"/>
    </row>
    <row r="6" spans="1:17" s="265" customFormat="1" x14ac:dyDescent="0.25">
      <c r="A6" s="1488" t="s">
        <v>343</v>
      </c>
      <c r="B6" s="1499" t="s">
        <v>37</v>
      </c>
      <c r="C6" s="1490" t="s">
        <v>519</v>
      </c>
      <c r="D6" s="1491"/>
      <c r="E6" s="1492"/>
      <c r="F6" s="1490" t="s">
        <v>520</v>
      </c>
      <c r="G6" s="1491"/>
      <c r="H6" s="1492"/>
      <c r="I6" s="1490" t="s">
        <v>521</v>
      </c>
      <c r="J6" s="1491"/>
      <c r="K6" s="1492"/>
      <c r="L6" s="588" t="s">
        <v>940</v>
      </c>
      <c r="M6" s="588" t="s">
        <v>941</v>
      </c>
      <c r="N6" s="588" t="s">
        <v>945</v>
      </c>
      <c r="O6" s="588" t="s">
        <v>942</v>
      </c>
      <c r="P6" s="588" t="s">
        <v>944</v>
      </c>
      <c r="Q6" s="1497" t="s">
        <v>27</v>
      </c>
    </row>
    <row r="7" spans="1:17" s="265" customFormat="1" ht="28" x14ac:dyDescent="0.25">
      <c r="A7" s="1489"/>
      <c r="B7" s="1500"/>
      <c r="C7" s="338" t="s">
        <v>982</v>
      </c>
      <c r="D7" s="572" t="s">
        <v>936</v>
      </c>
      <c r="E7" s="567" t="s">
        <v>7</v>
      </c>
      <c r="F7" s="338" t="s">
        <v>982</v>
      </c>
      <c r="G7" s="572" t="s">
        <v>936</v>
      </c>
      <c r="H7" s="567" t="s">
        <v>7</v>
      </c>
      <c r="I7" s="338" t="s">
        <v>982</v>
      </c>
      <c r="J7" s="572" t="s">
        <v>936</v>
      </c>
      <c r="K7" s="567" t="s">
        <v>695</v>
      </c>
      <c r="L7" s="589" t="s">
        <v>943</v>
      </c>
      <c r="M7" s="589" t="s">
        <v>943</v>
      </c>
      <c r="N7" s="589" t="s">
        <v>943</v>
      </c>
      <c r="O7" s="589" t="s">
        <v>943</v>
      </c>
      <c r="P7" s="589" t="s">
        <v>943</v>
      </c>
      <c r="Q7" s="1498"/>
    </row>
    <row r="8" spans="1:17" s="265" customFormat="1" x14ac:dyDescent="0.25">
      <c r="A8" s="187">
        <v>1</v>
      </c>
      <c r="B8" s="184" t="s">
        <v>870</v>
      </c>
      <c r="C8" s="541">
        <f>SUM('F1'!E13:E25,'F1'!E27)-'F1'!E29</f>
        <v>356.93673459991783</v>
      </c>
      <c r="D8" s="541">
        <f>SUM('F1'!F13:F25,'F1'!F27)-'F1'!F29</f>
        <v>377.55743411773864</v>
      </c>
      <c r="E8" s="541">
        <f>SUM('F1'!G13:G25,'F1'!G27)-'F1'!G29</f>
        <v>382.19925174239813</v>
      </c>
      <c r="F8" s="542">
        <f>SUM('F1'!I13:I25,'F1'!I27)-'F1'!I29</f>
        <v>374.0268046371271</v>
      </c>
      <c r="G8" s="542">
        <f>SUM('F1'!J13:J25,'F1'!J27)-'F1'!J29</f>
        <v>406.70878055350676</v>
      </c>
      <c r="H8" s="542">
        <f>SUM('F1'!K13:K25,'F1'!K27)-'F1'!K29</f>
        <v>452.45746073457343</v>
      </c>
      <c r="I8" s="542">
        <f>SUM('F1'!M13:M25,'F1'!M27)-'F1'!M29</f>
        <v>363.86955471613931</v>
      </c>
      <c r="J8" s="542">
        <f ca="1">SUM('F1'!N13:N25,'F1'!N27)-'F1'!N29</f>
        <v>416.60739641806003</v>
      </c>
      <c r="K8" s="542">
        <f ca="1">SUM('F1'!Q13:Q25,'F1'!Q27)-'F1'!Q29</f>
        <v>405.32878635566084</v>
      </c>
      <c r="L8" s="542">
        <f ca="1">SUM('F1'!S13:S25,'F1'!S27)-'F1'!S29</f>
        <v>435.21682475230824</v>
      </c>
      <c r="M8" s="542">
        <f ca="1">SUM('F1'!T13:T25,'F1'!T27)-'F1'!T29</f>
        <v>460.44455964668657</v>
      </c>
      <c r="N8" s="542">
        <f ca="1">SUM('F1'!U13:U25,'F1'!U27)-'F1'!U29</f>
        <v>482.39443726183669</v>
      </c>
      <c r="O8" s="542">
        <f ca="1">SUM('F1'!V13:V25,'F1'!V27)-'F1'!V29</f>
        <v>482.28172865085025</v>
      </c>
      <c r="P8" s="542">
        <f ca="1">SUM('F1'!W13:W25,'F1'!W27)-'F1'!W29</f>
        <v>491.68115405262682</v>
      </c>
      <c r="Q8" s="182"/>
    </row>
    <row r="9" spans="1:17" s="265" customFormat="1" x14ac:dyDescent="0.25">
      <c r="A9" s="183"/>
      <c r="B9" s="184" t="s">
        <v>649</v>
      </c>
      <c r="C9" s="352">
        <f t="shared" ref="C9:D9" si="0">C8*0.5</f>
        <v>178.46836729995891</v>
      </c>
      <c r="D9" s="352">
        <f t="shared" si="0"/>
        <v>188.77871705886932</v>
      </c>
      <c r="E9" s="352">
        <f>E8*0.5</f>
        <v>191.09962587119907</v>
      </c>
      <c r="F9" s="352">
        <f t="shared" ref="F9:G9" si="1">F8*0.5</f>
        <v>187.01340231856355</v>
      </c>
      <c r="G9" s="352">
        <f t="shared" si="1"/>
        <v>203.35439027675338</v>
      </c>
      <c r="H9" s="352">
        <f>H8*0.5</f>
        <v>226.22873036728672</v>
      </c>
      <c r="I9" s="352">
        <f t="shared" ref="I9:J9" si="2">I8*0.5</f>
        <v>181.93477735806965</v>
      </c>
      <c r="J9" s="352">
        <f t="shared" ca="1" si="2"/>
        <v>208.30369820903002</v>
      </c>
      <c r="K9" s="352">
        <f ca="1">K8*0.5</f>
        <v>202.66439317783042</v>
      </c>
      <c r="L9" s="352">
        <f ca="1">L8*0.5</f>
        <v>217.60841237615412</v>
      </c>
      <c r="M9" s="352">
        <f ca="1">M8*0.5</f>
        <v>230.22227982334329</v>
      </c>
      <c r="N9" s="352">
        <f t="shared" ref="N9:P9" ca="1" si="3">N8*0.5</f>
        <v>241.19721863091834</v>
      </c>
      <c r="O9" s="352">
        <f t="shared" ca="1" si="3"/>
        <v>241.14086432542513</v>
      </c>
      <c r="P9" s="352">
        <f t="shared" ca="1" si="3"/>
        <v>245.84057702631341</v>
      </c>
      <c r="Q9" s="182"/>
    </row>
    <row r="10" spans="1:17" s="191" customFormat="1" x14ac:dyDescent="0.3">
      <c r="A10" s="188">
        <v>2</v>
      </c>
      <c r="B10" s="430" t="s">
        <v>422</v>
      </c>
      <c r="C10" s="414"/>
      <c r="D10" s="414"/>
      <c r="E10" s="414">
        <f>(E8*0.5)/('F2.5'!F15*(1-'F2.5'!F17))*10</f>
        <v>1.783527602195309</v>
      </c>
      <c r="F10" s="414"/>
      <c r="G10" s="414"/>
      <c r="H10" s="414">
        <f>(H8*0.5)/('F2.5'!I15*(1-'F2.5'!I17))*10</f>
        <v>2.1163525003395915</v>
      </c>
      <c r="I10" s="414"/>
      <c r="J10" s="414"/>
      <c r="K10" s="414">
        <f ca="1">(K8*0.5)/('F2.5'!N15*(1-'F2.5'!N17))*10</f>
        <v>3.7851748845850968</v>
      </c>
      <c r="L10" s="414">
        <f ca="1">(L8*0.5)/('F2.5'!P15*(1-'F2.5'!P17))*10</f>
        <v>2.0120030609386292</v>
      </c>
      <c r="M10" s="414">
        <f ca="1">(M8*0.5)/('F2.5'!Q15*(1-'F2.5'!Q17))*10</f>
        <v>2.1286306289489541</v>
      </c>
      <c r="N10" s="414">
        <f ca="1">(N8*0.5)/('F2.5'!R15*(1-'F2.5'!R17))*10</f>
        <v>2.230104695292884</v>
      </c>
      <c r="O10" s="414">
        <f ca="1">(O8*0.5)/('F2.5'!S15*(1-'F2.5'!S17))*10</f>
        <v>2.229583644503021</v>
      </c>
      <c r="P10" s="414">
        <f ca="1">(P8*0.5)/('F2.5'!T15*(1-'F2.5'!T17))*10</f>
        <v>2.2730370948382692</v>
      </c>
      <c r="Q10" s="190"/>
    </row>
    <row r="11" spans="1:17" s="265" customFormat="1" x14ac:dyDescent="0.25">
      <c r="A11" s="183"/>
      <c r="B11" s="23"/>
      <c r="C11" s="23"/>
      <c r="D11" s="182"/>
      <c r="E11" s="182"/>
      <c r="F11" s="182"/>
      <c r="G11" s="182"/>
      <c r="H11" s="182"/>
      <c r="I11" s="182"/>
      <c r="J11" s="182"/>
      <c r="K11" s="182"/>
      <c r="L11" s="182"/>
      <c r="M11" s="182"/>
      <c r="N11" s="182"/>
      <c r="O11" s="182"/>
      <c r="P11" s="182"/>
      <c r="Q11" s="182"/>
    </row>
    <row r="12" spans="1:17" ht="17.25" customHeight="1" x14ac:dyDescent="0.3">
      <c r="A12" s="188">
        <v>3</v>
      </c>
      <c r="B12" s="189" t="s">
        <v>423</v>
      </c>
      <c r="C12" s="430"/>
      <c r="D12" s="430"/>
      <c r="E12" s="429"/>
      <c r="F12" s="429"/>
      <c r="G12" s="429"/>
      <c r="H12" s="429"/>
      <c r="I12" s="429"/>
      <c r="J12" s="429"/>
      <c r="K12" s="429"/>
      <c r="L12" s="429"/>
      <c r="M12" s="429"/>
      <c r="N12" s="429"/>
      <c r="O12" s="429"/>
      <c r="P12" s="429"/>
      <c r="Q12" s="190"/>
    </row>
    <row r="13" spans="1:17" s="265" customFormat="1" ht="17.75" customHeight="1" x14ac:dyDescent="0.25">
      <c r="A13" s="1484"/>
      <c r="B13" s="1485"/>
      <c r="C13" s="1485"/>
      <c r="D13" s="1485"/>
      <c r="E13" s="336"/>
      <c r="F13" s="563"/>
      <c r="H13" s="334"/>
      <c r="I13" s="566"/>
      <c r="K13" s="334"/>
      <c r="L13" s="334"/>
      <c r="M13" s="334"/>
      <c r="N13" s="590"/>
      <c r="O13" s="590"/>
      <c r="P13" s="590"/>
    </row>
    <row r="14" spans="1:17" s="265" customFormat="1" ht="17.75" customHeight="1" x14ac:dyDescent="0.25">
      <c r="A14" s="1486" t="s">
        <v>152</v>
      </c>
      <c r="B14" s="1487"/>
      <c r="C14" s="1487"/>
      <c r="D14" s="1487"/>
      <c r="E14" s="337"/>
      <c r="F14" s="564"/>
      <c r="H14" s="334"/>
      <c r="I14" s="566"/>
      <c r="K14" s="334"/>
      <c r="L14" s="334"/>
      <c r="M14" s="334"/>
      <c r="N14" s="590"/>
      <c r="O14" s="590"/>
      <c r="P14" s="590"/>
    </row>
    <row r="15" spans="1:17" s="265" customFormat="1" ht="17.25" customHeight="1" x14ac:dyDescent="0.25">
      <c r="A15" s="1493" t="s">
        <v>1453</v>
      </c>
      <c r="B15" s="1494"/>
      <c r="C15" s="1494"/>
      <c r="D15" s="1494"/>
      <c r="E15" s="333"/>
      <c r="F15" s="565"/>
      <c r="H15" s="334"/>
      <c r="I15" s="566"/>
      <c r="K15" s="334"/>
      <c r="L15" s="334"/>
      <c r="M15" s="334"/>
      <c r="N15" s="590"/>
      <c r="O15" s="590"/>
      <c r="P15" s="590"/>
    </row>
    <row r="16" spans="1:17" s="265" customFormat="1" ht="17.75" customHeight="1" x14ac:dyDescent="0.25">
      <c r="A16" s="1493" t="s">
        <v>650</v>
      </c>
      <c r="B16" s="1495"/>
      <c r="C16" s="1495"/>
      <c r="D16" s="1495"/>
      <c r="E16" s="334"/>
      <c r="F16" s="566"/>
      <c r="H16" s="334"/>
      <c r="I16" s="566"/>
      <c r="K16" s="334"/>
      <c r="L16" s="334"/>
      <c r="M16" s="334"/>
      <c r="N16" s="590"/>
      <c r="O16" s="590"/>
      <c r="P16" s="590"/>
    </row>
    <row r="17" spans="1:16" s="265" customFormat="1" ht="17.75" customHeight="1" x14ac:dyDescent="0.25">
      <c r="A17" s="1493"/>
      <c r="B17" s="1496"/>
      <c r="C17" s="1496"/>
      <c r="D17" s="1496"/>
      <c r="E17" s="333"/>
      <c r="F17" s="565"/>
      <c r="H17" s="334"/>
      <c r="I17" s="566"/>
      <c r="K17" s="334"/>
      <c r="L17" s="334"/>
      <c r="M17" s="334"/>
      <c r="N17" s="590"/>
      <c r="O17" s="590"/>
      <c r="P17" s="590"/>
    </row>
    <row r="18" spans="1:16" x14ac:dyDescent="0.3">
      <c r="A18" s="181"/>
      <c r="B18" s="179"/>
      <c r="C18" s="179"/>
      <c r="D18" s="185" t="s">
        <v>374</v>
      </c>
      <c r="E18" s="185"/>
      <c r="F18" s="185"/>
    </row>
    <row r="19" spans="1:16" x14ac:dyDescent="0.3">
      <c r="A19" s="179"/>
      <c r="B19" s="179"/>
      <c r="C19" s="179"/>
      <c r="D19" s="179"/>
      <c r="E19" s="179"/>
      <c r="F19" s="179"/>
    </row>
  </sheetData>
  <mergeCells count="14">
    <mergeCell ref="A15:D15"/>
    <mergeCell ref="A16:D16"/>
    <mergeCell ref="A17:D17"/>
    <mergeCell ref="Q6:Q7"/>
    <mergeCell ref="B6:B7"/>
    <mergeCell ref="A2:Q2"/>
    <mergeCell ref="A3:Q3"/>
    <mergeCell ref="A4:Q4"/>
    <mergeCell ref="A13:D13"/>
    <mergeCell ref="A14:D14"/>
    <mergeCell ref="A6:A7"/>
    <mergeCell ref="C6:E6"/>
    <mergeCell ref="F6:H6"/>
    <mergeCell ref="I6:K6"/>
  </mergeCells>
  <pageMargins left="0.74803149606299213" right="0.74803149606299213" top="0.98425196850393704" bottom="0.98425196850393704" header="0.51181102362204722" footer="0.51181102362204722"/>
  <pageSetup scale="46" orientation="landscape" horizontalDpi="300" verticalDpi="300" r:id="rId1"/>
  <headerFooter alignWithMargins="0">
    <oddHeader>&amp;A</oddHeader>
    <oddFooter>&amp;L&amp;F&amp;C&amp;P/&amp;N&amp;R&amp;D&amp;T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61"/>
  <sheetViews>
    <sheetView showGridLines="0" view="pageBreakPreview" zoomScale="75" zoomScaleNormal="75" zoomScaleSheetLayoutView="75" workbookViewId="0">
      <pane xSplit="2" ySplit="9" topLeftCell="E10" activePane="bottomRight" state="frozen"/>
      <selection pane="topRight" activeCell="C1" sqref="C1"/>
      <selection pane="bottomLeft" activeCell="A10" sqref="A10"/>
      <selection pane="bottomRight" activeCell="A8" sqref="A8:XFD8"/>
    </sheetView>
  </sheetViews>
  <sheetFormatPr defaultColWidth="9.36328125" defaultRowHeight="14" x14ac:dyDescent="0.3"/>
  <cols>
    <col min="1" max="1" width="4.36328125" style="5" customWidth="1"/>
    <col min="2" max="2" width="6.36328125" style="5" customWidth="1"/>
    <col min="3" max="3" width="45.36328125" style="5" customWidth="1"/>
    <col min="4" max="8" width="15.6328125" style="49" customWidth="1"/>
    <col min="9" max="11" width="18.36328125" style="5" customWidth="1"/>
    <col min="12" max="15" width="15.6328125" style="5" customWidth="1"/>
    <col min="16" max="16" width="17.36328125" style="5" customWidth="1"/>
    <col min="17" max="20" width="16.453125" style="5" customWidth="1"/>
    <col min="21" max="21" width="15.6328125" style="5" customWidth="1"/>
    <col min="22" max="16384" width="9.36328125" style="5"/>
  </cols>
  <sheetData>
    <row r="2" spans="2:21" x14ac:dyDescent="0.3">
      <c r="B2" s="1468" t="str">
        <f>Index!B2</f>
        <v xml:space="preserve">      Maharashtra State Power Generation Company Ltd.</v>
      </c>
      <c r="C2" s="1469"/>
      <c r="D2" s="1469"/>
      <c r="E2" s="1469"/>
      <c r="F2" s="1469"/>
      <c r="G2" s="1469"/>
      <c r="H2" s="1469"/>
      <c r="I2" s="1469"/>
      <c r="J2" s="1469"/>
      <c r="K2" s="1469"/>
      <c r="L2" s="1469"/>
      <c r="M2" s="1469"/>
      <c r="N2" s="1469"/>
      <c r="O2" s="1469"/>
      <c r="P2" s="1469"/>
      <c r="Q2" s="1469"/>
      <c r="R2" s="1469"/>
      <c r="S2" s="1469"/>
      <c r="T2" s="1469"/>
      <c r="U2" s="1469"/>
    </row>
    <row r="3" spans="2:21" x14ac:dyDescent="0.3">
      <c r="B3" s="1468" t="str">
        <f>Index!B3</f>
        <v>MYT Petition Formats for SHP Hydro</v>
      </c>
      <c r="C3" s="1469"/>
      <c r="D3" s="1469"/>
      <c r="E3" s="1469"/>
      <c r="F3" s="1469"/>
      <c r="G3" s="1469"/>
      <c r="H3" s="1469"/>
      <c r="I3" s="1469"/>
      <c r="J3" s="1469"/>
      <c r="K3" s="1469"/>
      <c r="L3" s="1469"/>
      <c r="M3" s="1469"/>
      <c r="N3" s="1469"/>
      <c r="O3" s="1469"/>
      <c r="P3" s="1469"/>
      <c r="Q3" s="1469"/>
      <c r="R3" s="1469"/>
      <c r="S3" s="1469"/>
      <c r="T3" s="1469"/>
      <c r="U3" s="1469"/>
    </row>
    <row r="4" spans="2:21" x14ac:dyDescent="0.3">
      <c r="B4" s="1470" t="s">
        <v>378</v>
      </c>
      <c r="C4" s="1469"/>
      <c r="D4" s="1469"/>
      <c r="E4" s="1469"/>
      <c r="F4" s="1469"/>
      <c r="G4" s="1469"/>
      <c r="H4" s="1469"/>
      <c r="I4" s="1469"/>
      <c r="J4" s="1469"/>
      <c r="K4" s="1469"/>
      <c r="L4" s="1469"/>
      <c r="M4" s="1469"/>
      <c r="N4" s="1469"/>
      <c r="O4" s="1469"/>
      <c r="P4" s="1469"/>
      <c r="Q4" s="1469"/>
      <c r="R4" s="1469"/>
      <c r="S4" s="1469"/>
      <c r="T4" s="1469"/>
      <c r="U4" s="1469"/>
    </row>
    <row r="5" spans="2:21" s="13" customFormat="1" x14ac:dyDescent="0.25">
      <c r="B5" s="1468"/>
      <c r="C5" s="1468"/>
      <c r="D5" s="1468"/>
      <c r="E5" s="1468"/>
      <c r="F5" s="1468"/>
      <c r="G5" s="1468"/>
      <c r="H5" s="1468"/>
      <c r="I5" s="1468"/>
      <c r="J5" s="1468"/>
      <c r="K5" s="1468"/>
      <c r="L5" s="1468"/>
      <c r="M5" s="1468"/>
      <c r="N5" s="1468"/>
      <c r="O5" s="1468"/>
      <c r="P5" s="1468"/>
      <c r="Q5" s="1468"/>
      <c r="R5" s="1468"/>
      <c r="S5" s="1468"/>
      <c r="T5" s="1468"/>
      <c r="U5" s="1468"/>
    </row>
    <row r="6" spans="2:21" s="13" customFormat="1" x14ac:dyDescent="0.3">
      <c r="B6" s="32"/>
      <c r="C6" s="8"/>
      <c r="D6" s="33"/>
      <c r="E6" s="33"/>
      <c r="F6" s="33"/>
      <c r="G6" s="33"/>
      <c r="H6" s="33"/>
      <c r="I6" s="15"/>
      <c r="J6" s="15"/>
      <c r="K6" s="15"/>
      <c r="L6" s="15"/>
      <c r="M6" s="15"/>
      <c r="N6" s="32"/>
      <c r="O6" s="32"/>
      <c r="P6" s="32"/>
      <c r="Q6" s="32"/>
      <c r="R6" s="32"/>
      <c r="S6" s="32"/>
      <c r="T6" s="32"/>
    </row>
    <row r="7" spans="2:21" s="34" customFormat="1" ht="21" customHeight="1" x14ac:dyDescent="0.3">
      <c r="B7" s="1476" t="s">
        <v>343</v>
      </c>
      <c r="C7" s="1508" t="s">
        <v>37</v>
      </c>
      <c r="D7" s="1508" t="s">
        <v>93</v>
      </c>
      <c r="E7" s="1478" t="s">
        <v>519</v>
      </c>
      <c r="F7" s="1479"/>
      <c r="G7" s="1480"/>
      <c r="H7" s="1478" t="s">
        <v>520</v>
      </c>
      <c r="I7" s="1479"/>
      <c r="J7" s="1480"/>
      <c r="K7" s="1478" t="s">
        <v>521</v>
      </c>
      <c r="L7" s="1479"/>
      <c r="M7" s="1479"/>
      <c r="N7" s="1479"/>
      <c r="O7" s="1480"/>
      <c r="P7" s="588" t="s">
        <v>940</v>
      </c>
      <c r="Q7" s="588" t="s">
        <v>941</v>
      </c>
      <c r="R7" s="588" t="s">
        <v>945</v>
      </c>
      <c r="S7" s="588" t="s">
        <v>942</v>
      </c>
      <c r="T7" s="588" t="s">
        <v>944</v>
      </c>
      <c r="U7" s="1476" t="s">
        <v>27</v>
      </c>
    </row>
    <row r="8" spans="2:21" s="35" customFormat="1" ht="28" x14ac:dyDescent="0.25">
      <c r="B8" s="1508"/>
      <c r="C8" s="1508"/>
      <c r="D8" s="1508"/>
      <c r="E8" s="330" t="s">
        <v>982</v>
      </c>
      <c r="F8" s="331" t="s">
        <v>79</v>
      </c>
      <c r="G8" s="331" t="s">
        <v>459</v>
      </c>
      <c r="H8" s="330" t="s">
        <v>982</v>
      </c>
      <c r="I8" s="331" t="s">
        <v>79</v>
      </c>
      <c r="J8" s="331" t="s">
        <v>459</v>
      </c>
      <c r="K8" s="331" t="s">
        <v>982</v>
      </c>
      <c r="L8" s="331" t="s">
        <v>449</v>
      </c>
      <c r="M8" s="331" t="s">
        <v>455</v>
      </c>
      <c r="N8" s="331" t="s">
        <v>80</v>
      </c>
      <c r="O8" s="331" t="s">
        <v>460</v>
      </c>
      <c r="P8" s="589" t="s">
        <v>943</v>
      </c>
      <c r="Q8" s="589" t="s">
        <v>943</v>
      </c>
      <c r="R8" s="589" t="s">
        <v>943</v>
      </c>
      <c r="S8" s="589" t="s">
        <v>943</v>
      </c>
      <c r="T8" s="589" t="s">
        <v>943</v>
      </c>
      <c r="U8" s="1476"/>
    </row>
    <row r="9" spans="2:21" s="35" customFormat="1" x14ac:dyDescent="0.25">
      <c r="B9" s="1508"/>
      <c r="C9" s="1508"/>
      <c r="D9" s="1508"/>
      <c r="E9" s="589" t="s">
        <v>81</v>
      </c>
      <c r="F9" s="589" t="s">
        <v>82</v>
      </c>
      <c r="G9" s="589" t="s">
        <v>692</v>
      </c>
      <c r="H9" s="589" t="s">
        <v>397</v>
      </c>
      <c r="I9" s="589" t="s">
        <v>414</v>
      </c>
      <c r="J9" s="589" t="s">
        <v>465</v>
      </c>
      <c r="K9" s="331" t="s">
        <v>415</v>
      </c>
      <c r="L9" s="331" t="s">
        <v>416</v>
      </c>
      <c r="M9" s="331" t="s">
        <v>603</v>
      </c>
      <c r="N9" s="331" t="s">
        <v>693</v>
      </c>
      <c r="O9" s="331" t="s">
        <v>516</v>
      </c>
      <c r="P9" s="589" t="s">
        <v>605</v>
      </c>
      <c r="Q9" s="589" t="s">
        <v>606</v>
      </c>
      <c r="R9" s="589" t="s">
        <v>607</v>
      </c>
      <c r="S9" s="589" t="s">
        <v>672</v>
      </c>
      <c r="T9" s="589" t="s">
        <v>608</v>
      </c>
      <c r="U9" s="1477"/>
    </row>
    <row r="10" spans="2:21" s="35" customFormat="1" x14ac:dyDescent="0.25">
      <c r="B10" s="38"/>
      <c r="C10" s="147"/>
      <c r="D10" s="148"/>
      <c r="E10" s="148"/>
      <c r="F10" s="148"/>
      <c r="G10" s="148"/>
      <c r="H10" s="148"/>
      <c r="I10" s="36"/>
      <c r="J10" s="36"/>
      <c r="K10" s="36"/>
      <c r="L10" s="36"/>
      <c r="M10" s="36"/>
      <c r="N10" s="36"/>
      <c r="O10" s="36"/>
      <c r="P10" s="36"/>
      <c r="Q10" s="36"/>
      <c r="R10" s="36"/>
      <c r="S10" s="36"/>
      <c r="T10" s="36"/>
      <c r="U10" s="36"/>
    </row>
    <row r="11" spans="2:21" s="35" customFormat="1" x14ac:dyDescent="0.25">
      <c r="B11" s="149">
        <v>1</v>
      </c>
      <c r="C11" s="150" t="s">
        <v>95</v>
      </c>
      <c r="D11" s="149" t="s">
        <v>96</v>
      </c>
      <c r="E11" s="1501" t="s">
        <v>839</v>
      </c>
      <c r="F11" s="1502"/>
      <c r="G11" s="1502"/>
      <c r="H11" s="1502"/>
      <c r="I11" s="1502"/>
      <c r="J11" s="1502"/>
      <c r="K11" s="1502"/>
      <c r="L11" s="1502"/>
      <c r="M11" s="1502"/>
      <c r="N11" s="1502"/>
      <c r="O11" s="1502"/>
      <c r="P11" s="1502"/>
      <c r="Q11" s="1502"/>
      <c r="R11" s="1502"/>
      <c r="S11" s="1502"/>
      <c r="T11" s="1502"/>
      <c r="U11" s="1503"/>
    </row>
    <row r="12" spans="2:21" s="35" customFormat="1" ht="28" x14ac:dyDescent="0.25">
      <c r="B12" s="149">
        <v>2</v>
      </c>
      <c r="C12" s="150" t="s">
        <v>524</v>
      </c>
      <c r="D12" s="149"/>
      <c r="E12" s="1504"/>
      <c r="F12" s="1504"/>
      <c r="G12" s="1504"/>
      <c r="H12" s="1504"/>
      <c r="I12" s="1504"/>
      <c r="J12" s="1504"/>
      <c r="K12" s="1504"/>
      <c r="L12" s="1504"/>
      <c r="M12" s="1504"/>
      <c r="N12" s="1504"/>
      <c r="O12" s="1504"/>
      <c r="P12" s="1504"/>
      <c r="Q12" s="1504"/>
      <c r="R12" s="1504"/>
      <c r="S12" s="1504"/>
      <c r="T12" s="1504"/>
      <c r="U12" s="1505"/>
    </row>
    <row r="13" spans="2:21" s="35" customFormat="1" x14ac:dyDescent="0.25">
      <c r="B13" s="149"/>
      <c r="C13" s="150"/>
      <c r="D13" s="149"/>
      <c r="E13" s="1504"/>
      <c r="F13" s="1504"/>
      <c r="G13" s="1504"/>
      <c r="H13" s="1504"/>
      <c r="I13" s="1504"/>
      <c r="J13" s="1504"/>
      <c r="K13" s="1504"/>
      <c r="L13" s="1504"/>
      <c r="M13" s="1504"/>
      <c r="N13" s="1504"/>
      <c r="O13" s="1504"/>
      <c r="P13" s="1504"/>
      <c r="Q13" s="1504"/>
      <c r="R13" s="1504"/>
      <c r="S13" s="1504"/>
      <c r="T13" s="1504"/>
      <c r="U13" s="1505"/>
    </row>
    <row r="14" spans="2:21" s="35" customFormat="1" x14ac:dyDescent="0.25">
      <c r="B14" s="38">
        <v>2</v>
      </c>
      <c r="C14" s="195" t="s">
        <v>379</v>
      </c>
      <c r="D14" s="149"/>
      <c r="E14" s="1504"/>
      <c r="F14" s="1504"/>
      <c r="G14" s="1504"/>
      <c r="H14" s="1504"/>
      <c r="I14" s="1504"/>
      <c r="J14" s="1504"/>
      <c r="K14" s="1504"/>
      <c r="L14" s="1504"/>
      <c r="M14" s="1504"/>
      <c r="N14" s="1504"/>
      <c r="O14" s="1504"/>
      <c r="P14" s="1504"/>
      <c r="Q14" s="1504"/>
      <c r="R14" s="1504"/>
      <c r="S14" s="1504"/>
      <c r="T14" s="1504"/>
      <c r="U14" s="1505"/>
    </row>
    <row r="15" spans="2:21" s="422" customFormat="1" x14ac:dyDescent="0.25">
      <c r="B15" s="387">
        <f>B14+0.1</f>
        <v>2.1</v>
      </c>
      <c r="C15" s="421" t="s">
        <v>97</v>
      </c>
      <c r="D15" s="387" t="s">
        <v>98</v>
      </c>
      <c r="E15" s="1504"/>
      <c r="F15" s="1504"/>
      <c r="G15" s="1504"/>
      <c r="H15" s="1504"/>
      <c r="I15" s="1504"/>
      <c r="J15" s="1504"/>
      <c r="K15" s="1504"/>
      <c r="L15" s="1504"/>
      <c r="M15" s="1504"/>
      <c r="N15" s="1504"/>
      <c r="O15" s="1504"/>
      <c r="P15" s="1504"/>
      <c r="Q15" s="1504"/>
      <c r="R15" s="1504"/>
      <c r="S15" s="1504"/>
      <c r="T15" s="1504"/>
      <c r="U15" s="1505"/>
    </row>
    <row r="16" spans="2:21" s="35" customFormat="1" x14ac:dyDescent="0.25">
      <c r="B16" s="149">
        <v>2.2000000000000002</v>
      </c>
      <c r="C16" s="150" t="s">
        <v>705</v>
      </c>
      <c r="D16" s="149" t="s">
        <v>98</v>
      </c>
      <c r="E16" s="1504"/>
      <c r="F16" s="1504"/>
      <c r="G16" s="1504"/>
      <c r="H16" s="1504"/>
      <c r="I16" s="1504"/>
      <c r="J16" s="1504"/>
      <c r="K16" s="1504"/>
      <c r="L16" s="1504"/>
      <c r="M16" s="1504"/>
      <c r="N16" s="1504"/>
      <c r="O16" s="1504"/>
      <c r="P16" s="1504"/>
      <c r="Q16" s="1504"/>
      <c r="R16" s="1504"/>
      <c r="S16" s="1504"/>
      <c r="T16" s="1504"/>
      <c r="U16" s="1505"/>
    </row>
    <row r="17" spans="2:21" s="35" customFormat="1" x14ac:dyDescent="0.25">
      <c r="B17" s="149" t="s">
        <v>116</v>
      </c>
      <c r="C17" s="325" t="s">
        <v>660</v>
      </c>
      <c r="D17" s="149" t="s">
        <v>98</v>
      </c>
      <c r="E17" s="1504"/>
      <c r="F17" s="1504"/>
      <c r="G17" s="1504"/>
      <c r="H17" s="1504"/>
      <c r="I17" s="1504"/>
      <c r="J17" s="1504"/>
      <c r="K17" s="1504"/>
      <c r="L17" s="1504"/>
      <c r="M17" s="1504"/>
      <c r="N17" s="1504"/>
      <c r="O17" s="1504"/>
      <c r="P17" s="1504"/>
      <c r="Q17" s="1504"/>
      <c r="R17" s="1504"/>
      <c r="S17" s="1504"/>
      <c r="T17" s="1504"/>
      <c r="U17" s="1505"/>
    </row>
    <row r="18" spans="2:21" s="35" customFormat="1" x14ac:dyDescent="0.25">
      <c r="B18" s="149"/>
      <c r="C18" s="326" t="s">
        <v>661</v>
      </c>
      <c r="D18" s="149" t="s">
        <v>98</v>
      </c>
      <c r="E18" s="1504"/>
      <c r="F18" s="1504"/>
      <c r="G18" s="1504"/>
      <c r="H18" s="1504"/>
      <c r="I18" s="1504"/>
      <c r="J18" s="1504"/>
      <c r="K18" s="1504"/>
      <c r="L18" s="1504"/>
      <c r="M18" s="1504"/>
      <c r="N18" s="1504"/>
      <c r="O18" s="1504"/>
      <c r="P18" s="1504"/>
      <c r="Q18" s="1504"/>
      <c r="R18" s="1504"/>
      <c r="S18" s="1504"/>
      <c r="T18" s="1504"/>
      <c r="U18" s="1505"/>
    </row>
    <row r="19" spans="2:21" s="35" customFormat="1" x14ac:dyDescent="0.25">
      <c r="B19" s="149"/>
      <c r="C19" s="326" t="s">
        <v>662</v>
      </c>
      <c r="D19" s="149" t="s">
        <v>98</v>
      </c>
      <c r="E19" s="1504"/>
      <c r="F19" s="1504"/>
      <c r="G19" s="1504"/>
      <c r="H19" s="1504"/>
      <c r="I19" s="1504"/>
      <c r="J19" s="1504"/>
      <c r="K19" s="1504"/>
      <c r="L19" s="1504"/>
      <c r="M19" s="1504"/>
      <c r="N19" s="1504"/>
      <c r="O19" s="1504"/>
      <c r="P19" s="1504"/>
      <c r="Q19" s="1504"/>
      <c r="R19" s="1504"/>
      <c r="S19" s="1504"/>
      <c r="T19" s="1504"/>
      <c r="U19" s="1505"/>
    </row>
    <row r="20" spans="2:21" s="35" customFormat="1" x14ac:dyDescent="0.25">
      <c r="B20" s="149" t="s">
        <v>118</v>
      </c>
      <c r="C20" s="325" t="s">
        <v>663</v>
      </c>
      <c r="D20" s="149" t="s">
        <v>98</v>
      </c>
      <c r="E20" s="1504"/>
      <c r="F20" s="1504"/>
      <c r="G20" s="1504"/>
      <c r="H20" s="1504"/>
      <c r="I20" s="1504"/>
      <c r="J20" s="1504"/>
      <c r="K20" s="1504"/>
      <c r="L20" s="1504"/>
      <c r="M20" s="1504"/>
      <c r="N20" s="1504"/>
      <c r="O20" s="1504"/>
      <c r="P20" s="1504"/>
      <c r="Q20" s="1504"/>
      <c r="R20" s="1504"/>
      <c r="S20" s="1504"/>
      <c r="T20" s="1504"/>
      <c r="U20" s="1505"/>
    </row>
    <row r="21" spans="2:21" s="35" customFormat="1" x14ac:dyDescent="0.25">
      <c r="B21" s="149"/>
      <c r="C21" s="326" t="s">
        <v>661</v>
      </c>
      <c r="D21" s="149" t="s">
        <v>98</v>
      </c>
      <c r="E21" s="1504"/>
      <c r="F21" s="1504"/>
      <c r="G21" s="1504"/>
      <c r="H21" s="1504"/>
      <c r="I21" s="1504"/>
      <c r="J21" s="1504"/>
      <c r="K21" s="1504"/>
      <c r="L21" s="1504"/>
      <c r="M21" s="1504"/>
      <c r="N21" s="1504"/>
      <c r="O21" s="1504"/>
      <c r="P21" s="1504"/>
      <c r="Q21" s="1504"/>
      <c r="R21" s="1504"/>
      <c r="S21" s="1504"/>
      <c r="T21" s="1504"/>
      <c r="U21" s="1505"/>
    </row>
    <row r="22" spans="2:21" s="35" customFormat="1" x14ac:dyDescent="0.25">
      <c r="B22" s="149"/>
      <c r="C22" s="326" t="s">
        <v>662</v>
      </c>
      <c r="D22" s="149" t="s">
        <v>98</v>
      </c>
      <c r="E22" s="1504"/>
      <c r="F22" s="1504"/>
      <c r="G22" s="1504"/>
      <c r="H22" s="1504"/>
      <c r="I22" s="1504"/>
      <c r="J22" s="1504"/>
      <c r="K22" s="1504"/>
      <c r="L22" s="1504"/>
      <c r="M22" s="1504"/>
      <c r="N22" s="1504"/>
      <c r="O22" s="1504"/>
      <c r="P22" s="1504"/>
      <c r="Q22" s="1504"/>
      <c r="R22" s="1504"/>
      <c r="S22" s="1504"/>
      <c r="T22" s="1504"/>
      <c r="U22" s="1505"/>
    </row>
    <row r="23" spans="2:21" s="35" customFormat="1" x14ac:dyDescent="0.25">
      <c r="B23" s="149"/>
      <c r="C23" s="150"/>
      <c r="D23" s="149"/>
      <c r="E23" s="1504"/>
      <c r="F23" s="1504"/>
      <c r="G23" s="1504"/>
      <c r="H23" s="1504"/>
      <c r="I23" s="1504"/>
      <c r="J23" s="1504"/>
      <c r="K23" s="1504"/>
      <c r="L23" s="1504"/>
      <c r="M23" s="1504"/>
      <c r="N23" s="1504"/>
      <c r="O23" s="1504"/>
      <c r="P23" s="1504"/>
      <c r="Q23" s="1504"/>
      <c r="R23" s="1504"/>
      <c r="S23" s="1504"/>
      <c r="T23" s="1504"/>
      <c r="U23" s="1505"/>
    </row>
    <row r="24" spans="2:21" s="35" customFormat="1" x14ac:dyDescent="0.25">
      <c r="B24" s="38">
        <v>3</v>
      </c>
      <c r="C24" s="195" t="s">
        <v>380</v>
      </c>
      <c r="D24" s="149"/>
      <c r="E24" s="1504"/>
      <c r="F24" s="1504"/>
      <c r="G24" s="1504"/>
      <c r="H24" s="1504"/>
      <c r="I24" s="1504"/>
      <c r="J24" s="1504"/>
      <c r="K24" s="1504"/>
      <c r="L24" s="1504"/>
      <c r="M24" s="1504"/>
      <c r="N24" s="1504"/>
      <c r="O24" s="1504"/>
      <c r="P24" s="1504"/>
      <c r="Q24" s="1504"/>
      <c r="R24" s="1504"/>
      <c r="S24" s="1504"/>
      <c r="T24" s="1504"/>
      <c r="U24" s="1505"/>
    </row>
    <row r="25" spans="2:21" s="422" customFormat="1" x14ac:dyDescent="0.25">
      <c r="B25" s="425">
        <f>B24+0.1</f>
        <v>3.1</v>
      </c>
      <c r="C25" s="421" t="s">
        <v>99</v>
      </c>
      <c r="D25" s="387" t="s">
        <v>98</v>
      </c>
      <c r="E25" s="1504"/>
      <c r="F25" s="1504"/>
      <c r="G25" s="1504"/>
      <c r="H25" s="1504"/>
      <c r="I25" s="1504"/>
      <c r="J25" s="1504"/>
      <c r="K25" s="1504"/>
      <c r="L25" s="1504"/>
      <c r="M25" s="1504"/>
      <c r="N25" s="1504"/>
      <c r="O25" s="1504"/>
      <c r="P25" s="1504"/>
      <c r="Q25" s="1504"/>
      <c r="R25" s="1504"/>
      <c r="S25" s="1504"/>
      <c r="T25" s="1504"/>
      <c r="U25" s="1505"/>
    </row>
    <row r="26" spans="2:21" s="422" customFormat="1" x14ac:dyDescent="0.25">
      <c r="B26" s="425">
        <v>3.2</v>
      </c>
      <c r="C26" s="421" t="s">
        <v>708</v>
      </c>
      <c r="D26" s="387" t="s">
        <v>98</v>
      </c>
      <c r="E26" s="1504"/>
      <c r="F26" s="1504"/>
      <c r="G26" s="1504"/>
      <c r="H26" s="1504"/>
      <c r="I26" s="1504"/>
      <c r="J26" s="1504"/>
      <c r="K26" s="1504"/>
      <c r="L26" s="1504"/>
      <c r="M26" s="1504"/>
      <c r="N26" s="1504"/>
      <c r="O26" s="1504"/>
      <c r="P26" s="1504"/>
      <c r="Q26" s="1504"/>
      <c r="R26" s="1504"/>
      <c r="S26" s="1504"/>
      <c r="T26" s="1504"/>
      <c r="U26" s="1505"/>
    </row>
    <row r="27" spans="2:21" s="35" customFormat="1" x14ac:dyDescent="0.25">
      <c r="B27" s="149">
        <v>3.3</v>
      </c>
      <c r="C27" s="290" t="s">
        <v>696</v>
      </c>
      <c r="D27" s="149" t="s">
        <v>98</v>
      </c>
      <c r="E27" s="1504"/>
      <c r="F27" s="1504"/>
      <c r="G27" s="1504"/>
      <c r="H27" s="1504"/>
      <c r="I27" s="1504"/>
      <c r="J27" s="1504"/>
      <c r="K27" s="1504"/>
      <c r="L27" s="1504"/>
      <c r="M27" s="1504"/>
      <c r="N27" s="1504"/>
      <c r="O27" s="1504"/>
      <c r="P27" s="1504"/>
      <c r="Q27" s="1504"/>
      <c r="R27" s="1504"/>
      <c r="S27" s="1504"/>
      <c r="T27" s="1504"/>
      <c r="U27" s="1505"/>
    </row>
    <row r="28" spans="2:21" s="35" customFormat="1" x14ac:dyDescent="0.25">
      <c r="B28" s="149"/>
      <c r="C28" s="150"/>
      <c r="D28" s="149"/>
      <c r="E28" s="1504"/>
      <c r="F28" s="1504"/>
      <c r="G28" s="1504"/>
      <c r="H28" s="1504"/>
      <c r="I28" s="1504"/>
      <c r="J28" s="1504"/>
      <c r="K28" s="1504"/>
      <c r="L28" s="1504"/>
      <c r="M28" s="1504"/>
      <c r="N28" s="1504"/>
      <c r="O28" s="1504"/>
      <c r="P28" s="1504"/>
      <c r="Q28" s="1504"/>
      <c r="R28" s="1504"/>
      <c r="S28" s="1504"/>
      <c r="T28" s="1504"/>
      <c r="U28" s="1505"/>
    </row>
    <row r="29" spans="2:21" s="35" customFormat="1" x14ac:dyDescent="0.25">
      <c r="B29" s="38">
        <v>4</v>
      </c>
      <c r="C29" s="195" t="s">
        <v>166</v>
      </c>
      <c r="D29" s="149"/>
      <c r="E29" s="1504"/>
      <c r="F29" s="1504"/>
      <c r="G29" s="1504"/>
      <c r="H29" s="1504"/>
      <c r="I29" s="1504"/>
      <c r="J29" s="1504"/>
      <c r="K29" s="1504"/>
      <c r="L29" s="1504"/>
      <c r="M29" s="1504"/>
      <c r="N29" s="1504"/>
      <c r="O29" s="1504"/>
      <c r="P29" s="1504"/>
      <c r="Q29" s="1504"/>
      <c r="R29" s="1504"/>
      <c r="S29" s="1504"/>
      <c r="T29" s="1504"/>
      <c r="U29" s="1505"/>
    </row>
    <row r="30" spans="2:21" s="35" customFormat="1" x14ac:dyDescent="0.25">
      <c r="B30" s="149">
        <f>B29+0.1</f>
        <v>4.0999999999999996</v>
      </c>
      <c r="C30" s="150" t="s">
        <v>709</v>
      </c>
      <c r="D30" s="149" t="s">
        <v>100</v>
      </c>
      <c r="E30" s="1504"/>
      <c r="F30" s="1504"/>
      <c r="G30" s="1504"/>
      <c r="H30" s="1504"/>
      <c r="I30" s="1504"/>
      <c r="J30" s="1504"/>
      <c r="K30" s="1504"/>
      <c r="L30" s="1504"/>
      <c r="M30" s="1504"/>
      <c r="N30" s="1504"/>
      <c r="O30" s="1504"/>
      <c r="P30" s="1504"/>
      <c r="Q30" s="1504"/>
      <c r="R30" s="1504"/>
      <c r="S30" s="1504"/>
      <c r="T30" s="1504"/>
      <c r="U30" s="1505"/>
    </row>
    <row r="31" spans="2:21" s="35" customFormat="1" x14ac:dyDescent="0.25">
      <c r="B31" s="149">
        <v>4.2</v>
      </c>
      <c r="C31" s="150" t="s">
        <v>715</v>
      </c>
      <c r="D31" s="149" t="s">
        <v>100</v>
      </c>
      <c r="E31" s="1504"/>
      <c r="F31" s="1504"/>
      <c r="G31" s="1504"/>
      <c r="H31" s="1504"/>
      <c r="I31" s="1504"/>
      <c r="J31" s="1504"/>
      <c r="K31" s="1504"/>
      <c r="L31" s="1504"/>
      <c r="M31" s="1504"/>
      <c r="N31" s="1504"/>
      <c r="O31" s="1504"/>
      <c r="P31" s="1504"/>
      <c r="Q31" s="1504"/>
      <c r="R31" s="1504"/>
      <c r="S31" s="1504"/>
      <c r="T31" s="1504"/>
      <c r="U31" s="1505"/>
    </row>
    <row r="32" spans="2:21" s="35" customFormat="1" x14ac:dyDescent="0.25">
      <c r="B32" s="149"/>
      <c r="C32" s="151"/>
      <c r="D32" s="149"/>
      <c r="E32" s="1504"/>
      <c r="F32" s="1504"/>
      <c r="G32" s="1504"/>
      <c r="H32" s="1504"/>
      <c r="I32" s="1504"/>
      <c r="J32" s="1504"/>
      <c r="K32" s="1504"/>
      <c r="L32" s="1504"/>
      <c r="M32" s="1504"/>
      <c r="N32" s="1504"/>
      <c r="O32" s="1504"/>
      <c r="P32" s="1504"/>
      <c r="Q32" s="1504"/>
      <c r="R32" s="1504"/>
      <c r="S32" s="1504"/>
      <c r="T32" s="1504"/>
      <c r="U32" s="1505"/>
    </row>
    <row r="33" spans="2:21" s="35" customFormat="1" x14ac:dyDescent="0.25">
      <c r="B33" s="38">
        <v>5</v>
      </c>
      <c r="C33" s="196" t="s">
        <v>364</v>
      </c>
      <c r="D33" s="149"/>
      <c r="E33" s="1504"/>
      <c r="F33" s="1504"/>
      <c r="G33" s="1504"/>
      <c r="H33" s="1504"/>
      <c r="I33" s="1504"/>
      <c r="J33" s="1504"/>
      <c r="K33" s="1504"/>
      <c r="L33" s="1504"/>
      <c r="M33" s="1504"/>
      <c r="N33" s="1504"/>
      <c r="O33" s="1504"/>
      <c r="P33" s="1504"/>
      <c r="Q33" s="1504"/>
      <c r="R33" s="1504"/>
      <c r="S33" s="1504"/>
      <c r="T33" s="1504"/>
      <c r="U33" s="1505"/>
    </row>
    <row r="34" spans="2:21" s="424" customFormat="1" x14ac:dyDescent="0.25">
      <c r="B34" s="426">
        <f>B33+0.1</f>
        <v>5.0999999999999996</v>
      </c>
      <c r="C34" s="423" t="s">
        <v>101</v>
      </c>
      <c r="D34" s="388" t="s">
        <v>98</v>
      </c>
      <c r="E34" s="1504"/>
      <c r="F34" s="1504"/>
      <c r="G34" s="1504"/>
      <c r="H34" s="1504"/>
      <c r="I34" s="1504"/>
      <c r="J34" s="1504"/>
      <c r="K34" s="1504"/>
      <c r="L34" s="1504"/>
      <c r="M34" s="1504"/>
      <c r="N34" s="1504"/>
      <c r="O34" s="1504"/>
      <c r="P34" s="1504"/>
      <c r="Q34" s="1504"/>
      <c r="R34" s="1504"/>
      <c r="S34" s="1504"/>
      <c r="T34" s="1504"/>
      <c r="U34" s="1505"/>
    </row>
    <row r="35" spans="2:21" s="35" customFormat="1" ht="28" x14ac:dyDescent="0.25">
      <c r="B35" s="149">
        <v>5.2</v>
      </c>
      <c r="C35" s="151" t="s">
        <v>701</v>
      </c>
      <c r="D35" s="149" t="s">
        <v>98</v>
      </c>
      <c r="E35" s="1504"/>
      <c r="F35" s="1504"/>
      <c r="G35" s="1504"/>
      <c r="H35" s="1504"/>
      <c r="I35" s="1504"/>
      <c r="J35" s="1504"/>
      <c r="K35" s="1504"/>
      <c r="L35" s="1504"/>
      <c r="M35" s="1504"/>
      <c r="N35" s="1504"/>
      <c r="O35" s="1504"/>
      <c r="P35" s="1504"/>
      <c r="Q35" s="1504"/>
      <c r="R35" s="1504"/>
      <c r="S35" s="1504"/>
      <c r="T35" s="1504"/>
      <c r="U35" s="1505"/>
    </row>
    <row r="36" spans="2:21" s="35" customFormat="1" ht="28" x14ac:dyDescent="0.25">
      <c r="B36" s="149">
        <v>5.3</v>
      </c>
      <c r="C36" s="151" t="s">
        <v>703</v>
      </c>
      <c r="D36" s="149" t="s">
        <v>98</v>
      </c>
      <c r="E36" s="1504"/>
      <c r="F36" s="1504"/>
      <c r="G36" s="1504"/>
      <c r="H36" s="1504"/>
      <c r="I36" s="1504"/>
      <c r="J36" s="1504"/>
      <c r="K36" s="1504"/>
      <c r="L36" s="1504"/>
      <c r="M36" s="1504"/>
      <c r="N36" s="1504"/>
      <c r="O36" s="1504"/>
      <c r="P36" s="1504"/>
      <c r="Q36" s="1504"/>
      <c r="R36" s="1504"/>
      <c r="S36" s="1504"/>
      <c r="T36" s="1504"/>
      <c r="U36" s="1505"/>
    </row>
    <row r="37" spans="2:21" s="35" customFormat="1" ht="28" x14ac:dyDescent="0.25">
      <c r="B37" s="149">
        <v>5.4</v>
      </c>
      <c r="C37" s="151" t="s">
        <v>702</v>
      </c>
      <c r="D37" s="149" t="s">
        <v>98</v>
      </c>
      <c r="E37" s="1504"/>
      <c r="F37" s="1504"/>
      <c r="G37" s="1504"/>
      <c r="H37" s="1504"/>
      <c r="I37" s="1504"/>
      <c r="J37" s="1504"/>
      <c r="K37" s="1504"/>
      <c r="L37" s="1504"/>
      <c r="M37" s="1504"/>
      <c r="N37" s="1504"/>
      <c r="O37" s="1504"/>
      <c r="P37" s="1504"/>
      <c r="Q37" s="1504"/>
      <c r="R37" s="1504"/>
      <c r="S37" s="1504"/>
      <c r="T37" s="1504"/>
      <c r="U37" s="1505"/>
    </row>
    <row r="38" spans="2:21" s="35" customFormat="1" ht="28" x14ac:dyDescent="0.25">
      <c r="B38" s="149">
        <v>5.5</v>
      </c>
      <c r="C38" s="151" t="s">
        <v>703</v>
      </c>
      <c r="D38" s="149" t="s">
        <v>100</v>
      </c>
      <c r="E38" s="1504"/>
      <c r="F38" s="1504"/>
      <c r="G38" s="1504"/>
      <c r="H38" s="1504"/>
      <c r="I38" s="1504"/>
      <c r="J38" s="1504"/>
      <c r="K38" s="1504"/>
      <c r="L38" s="1504"/>
      <c r="M38" s="1504"/>
      <c r="N38" s="1504"/>
      <c r="O38" s="1504"/>
      <c r="P38" s="1504"/>
      <c r="Q38" s="1504"/>
      <c r="R38" s="1504"/>
      <c r="S38" s="1504"/>
      <c r="T38" s="1504"/>
      <c r="U38" s="1505"/>
    </row>
    <row r="39" spans="2:21" s="35" customFormat="1" ht="28" x14ac:dyDescent="0.25">
      <c r="B39" s="149">
        <v>5.6</v>
      </c>
      <c r="C39" s="151" t="s">
        <v>702</v>
      </c>
      <c r="D39" s="149" t="s">
        <v>100</v>
      </c>
      <c r="E39" s="1504"/>
      <c r="F39" s="1504"/>
      <c r="G39" s="1504"/>
      <c r="H39" s="1504"/>
      <c r="I39" s="1504"/>
      <c r="J39" s="1504"/>
      <c r="K39" s="1504"/>
      <c r="L39" s="1504"/>
      <c r="M39" s="1504"/>
      <c r="N39" s="1504"/>
      <c r="O39" s="1504"/>
      <c r="P39" s="1504"/>
      <c r="Q39" s="1504"/>
      <c r="R39" s="1504"/>
      <c r="S39" s="1504"/>
      <c r="T39" s="1504"/>
      <c r="U39" s="1505"/>
    </row>
    <row r="40" spans="2:21" s="35" customFormat="1" x14ac:dyDescent="0.25">
      <c r="B40" s="149"/>
      <c r="C40" s="151"/>
      <c r="D40" s="149"/>
      <c r="E40" s="1504"/>
      <c r="F40" s="1504"/>
      <c r="G40" s="1504"/>
      <c r="H40" s="1504"/>
      <c r="I40" s="1504"/>
      <c r="J40" s="1504"/>
      <c r="K40" s="1504"/>
      <c r="L40" s="1504"/>
      <c r="M40" s="1504"/>
      <c r="N40" s="1504"/>
      <c r="O40" s="1504"/>
      <c r="P40" s="1504"/>
      <c r="Q40" s="1504"/>
      <c r="R40" s="1504"/>
      <c r="S40" s="1504"/>
      <c r="T40" s="1504"/>
      <c r="U40" s="1505"/>
    </row>
    <row r="41" spans="2:21" s="35" customFormat="1" x14ac:dyDescent="0.25">
      <c r="B41" s="38">
        <v>6</v>
      </c>
      <c r="C41" s="196" t="s">
        <v>102</v>
      </c>
      <c r="D41" s="149"/>
      <c r="E41" s="1504"/>
      <c r="F41" s="1504"/>
      <c r="G41" s="1504"/>
      <c r="H41" s="1504"/>
      <c r="I41" s="1504"/>
      <c r="J41" s="1504"/>
      <c r="K41" s="1504"/>
      <c r="L41" s="1504"/>
      <c r="M41" s="1504"/>
      <c r="N41" s="1504"/>
      <c r="O41" s="1504"/>
      <c r="P41" s="1504"/>
      <c r="Q41" s="1504"/>
      <c r="R41" s="1504"/>
      <c r="S41" s="1504"/>
      <c r="T41" s="1504"/>
      <c r="U41" s="1505"/>
    </row>
    <row r="42" spans="2:21" s="35" customFormat="1" x14ac:dyDescent="0.25">
      <c r="B42" s="149">
        <v>6.1</v>
      </c>
      <c r="C42" s="150" t="s">
        <v>713</v>
      </c>
      <c r="D42" s="149" t="s">
        <v>100</v>
      </c>
      <c r="E42" s="1504"/>
      <c r="F42" s="1504"/>
      <c r="G42" s="1504"/>
      <c r="H42" s="1504"/>
      <c r="I42" s="1504"/>
      <c r="J42" s="1504"/>
      <c r="K42" s="1504"/>
      <c r="L42" s="1504"/>
      <c r="M42" s="1504"/>
      <c r="N42" s="1504"/>
      <c r="O42" s="1504"/>
      <c r="P42" s="1504"/>
      <c r="Q42" s="1504"/>
      <c r="R42" s="1504"/>
      <c r="S42" s="1504"/>
      <c r="T42" s="1504"/>
      <c r="U42" s="1505"/>
    </row>
    <row r="43" spans="2:21" s="35" customFormat="1" x14ac:dyDescent="0.25">
      <c r="B43" s="149">
        <v>6.2</v>
      </c>
      <c r="C43" s="150" t="s">
        <v>714</v>
      </c>
      <c r="D43" s="149" t="s">
        <v>100</v>
      </c>
      <c r="E43" s="1504"/>
      <c r="F43" s="1504"/>
      <c r="G43" s="1504"/>
      <c r="H43" s="1504"/>
      <c r="I43" s="1504"/>
      <c r="J43" s="1504"/>
      <c r="K43" s="1504"/>
      <c r="L43" s="1504"/>
      <c r="M43" s="1504"/>
      <c r="N43" s="1504"/>
      <c r="O43" s="1504"/>
      <c r="P43" s="1504"/>
      <c r="Q43" s="1504"/>
      <c r="R43" s="1504"/>
      <c r="S43" s="1504"/>
      <c r="T43" s="1504"/>
      <c r="U43" s="1505"/>
    </row>
    <row r="44" spans="2:21" s="35" customFormat="1" x14ac:dyDescent="0.25">
      <c r="B44" s="149"/>
      <c r="C44" s="151"/>
      <c r="D44" s="149"/>
      <c r="E44" s="1504"/>
      <c r="F44" s="1504"/>
      <c r="G44" s="1504"/>
      <c r="H44" s="1504"/>
      <c r="I44" s="1504"/>
      <c r="J44" s="1504"/>
      <c r="K44" s="1504"/>
      <c r="L44" s="1504"/>
      <c r="M44" s="1504"/>
      <c r="N44" s="1504"/>
      <c r="O44" s="1504"/>
      <c r="P44" s="1504"/>
      <c r="Q44" s="1504"/>
      <c r="R44" s="1504"/>
      <c r="S44" s="1504"/>
      <c r="T44" s="1504"/>
      <c r="U44" s="1505"/>
    </row>
    <row r="45" spans="2:21" s="35" customFormat="1" x14ac:dyDescent="0.25">
      <c r="B45" s="38">
        <v>7</v>
      </c>
      <c r="C45" s="196" t="s">
        <v>452</v>
      </c>
      <c r="D45" s="149"/>
      <c r="E45" s="1504"/>
      <c r="F45" s="1504"/>
      <c r="G45" s="1504"/>
      <c r="H45" s="1504"/>
      <c r="I45" s="1504"/>
      <c r="J45" s="1504"/>
      <c r="K45" s="1504"/>
      <c r="L45" s="1504"/>
      <c r="M45" s="1504"/>
      <c r="N45" s="1504"/>
      <c r="O45" s="1504"/>
      <c r="P45" s="1504"/>
      <c r="Q45" s="1504"/>
      <c r="R45" s="1504"/>
      <c r="S45" s="1504"/>
      <c r="T45" s="1504"/>
      <c r="U45" s="1505"/>
    </row>
    <row r="46" spans="2:21" s="35" customFormat="1" x14ac:dyDescent="0.25">
      <c r="B46" s="149">
        <f>B45+0.1</f>
        <v>7.1</v>
      </c>
      <c r="C46" s="151" t="s">
        <v>103</v>
      </c>
      <c r="D46" s="149" t="s">
        <v>104</v>
      </c>
      <c r="E46" s="1504"/>
      <c r="F46" s="1504"/>
      <c r="G46" s="1504"/>
      <c r="H46" s="1504"/>
      <c r="I46" s="1504"/>
      <c r="J46" s="1504"/>
      <c r="K46" s="1504"/>
      <c r="L46" s="1504"/>
      <c r="M46" s="1504"/>
      <c r="N46" s="1504"/>
      <c r="O46" s="1504"/>
      <c r="P46" s="1504"/>
      <c r="Q46" s="1504"/>
      <c r="R46" s="1504"/>
      <c r="S46" s="1504"/>
      <c r="T46" s="1504"/>
      <c r="U46" s="1505"/>
    </row>
    <row r="47" spans="2:21" s="35" customFormat="1" x14ac:dyDescent="0.25">
      <c r="B47" s="149">
        <f>B46+0.1</f>
        <v>7.1999999999999993</v>
      </c>
      <c r="C47" s="150" t="s">
        <v>318</v>
      </c>
      <c r="D47" s="149" t="s">
        <v>104</v>
      </c>
      <c r="E47" s="1504"/>
      <c r="F47" s="1504"/>
      <c r="G47" s="1504"/>
      <c r="H47" s="1504"/>
      <c r="I47" s="1504"/>
      <c r="J47" s="1504"/>
      <c r="K47" s="1504"/>
      <c r="L47" s="1504"/>
      <c r="M47" s="1504"/>
      <c r="N47" s="1504"/>
      <c r="O47" s="1504"/>
      <c r="P47" s="1504"/>
      <c r="Q47" s="1504"/>
      <c r="R47" s="1504"/>
      <c r="S47" s="1504"/>
      <c r="T47" s="1504"/>
      <c r="U47" s="1505"/>
    </row>
    <row r="48" spans="2:21" s="35" customFormat="1" x14ac:dyDescent="0.25">
      <c r="B48" s="149"/>
      <c r="C48" s="150"/>
      <c r="D48" s="149"/>
      <c r="E48" s="1504"/>
      <c r="F48" s="1504"/>
      <c r="G48" s="1504"/>
      <c r="H48" s="1504"/>
      <c r="I48" s="1504"/>
      <c r="J48" s="1504"/>
      <c r="K48" s="1504"/>
      <c r="L48" s="1504"/>
      <c r="M48" s="1504"/>
      <c r="N48" s="1504"/>
      <c r="O48" s="1504"/>
      <c r="P48" s="1504"/>
      <c r="Q48" s="1504"/>
      <c r="R48" s="1504"/>
      <c r="S48" s="1504"/>
      <c r="T48" s="1504"/>
      <c r="U48" s="1505"/>
    </row>
    <row r="49" spans="2:21" s="35" customFormat="1" x14ac:dyDescent="0.25">
      <c r="B49" s="38">
        <v>8</v>
      </c>
      <c r="C49" s="195" t="s">
        <v>381</v>
      </c>
      <c r="D49" s="149"/>
      <c r="E49" s="1504"/>
      <c r="F49" s="1504"/>
      <c r="G49" s="1504"/>
      <c r="H49" s="1504"/>
      <c r="I49" s="1504"/>
      <c r="J49" s="1504"/>
      <c r="K49" s="1504"/>
      <c r="L49" s="1504"/>
      <c r="M49" s="1504"/>
      <c r="N49" s="1504"/>
      <c r="O49" s="1504"/>
      <c r="P49" s="1504"/>
      <c r="Q49" s="1504"/>
      <c r="R49" s="1504"/>
      <c r="S49" s="1504"/>
      <c r="T49" s="1504"/>
      <c r="U49" s="1505"/>
    </row>
    <row r="50" spans="2:21" s="35" customFormat="1" x14ac:dyDescent="0.25">
      <c r="B50" s="149">
        <f>B49+0.1</f>
        <v>8.1</v>
      </c>
      <c r="C50" s="150" t="s">
        <v>105</v>
      </c>
      <c r="D50" s="149" t="s">
        <v>106</v>
      </c>
      <c r="E50" s="1504"/>
      <c r="F50" s="1504"/>
      <c r="G50" s="1504"/>
      <c r="H50" s="1504"/>
      <c r="I50" s="1504"/>
      <c r="J50" s="1504"/>
      <c r="K50" s="1504"/>
      <c r="L50" s="1504"/>
      <c r="M50" s="1504"/>
      <c r="N50" s="1504"/>
      <c r="O50" s="1504"/>
      <c r="P50" s="1504"/>
      <c r="Q50" s="1504"/>
      <c r="R50" s="1504"/>
      <c r="S50" s="1504"/>
      <c r="T50" s="1504"/>
      <c r="U50" s="1505"/>
    </row>
    <row r="51" spans="2:21" s="35" customFormat="1" x14ac:dyDescent="0.25">
      <c r="B51" s="149">
        <f>B50+0.1</f>
        <v>8.1999999999999993</v>
      </c>
      <c r="C51" s="150" t="s">
        <v>319</v>
      </c>
      <c r="D51" s="149" t="s">
        <v>106</v>
      </c>
      <c r="E51" s="1504"/>
      <c r="F51" s="1504"/>
      <c r="G51" s="1504"/>
      <c r="H51" s="1504"/>
      <c r="I51" s="1504"/>
      <c r="J51" s="1504"/>
      <c r="K51" s="1504"/>
      <c r="L51" s="1504"/>
      <c r="M51" s="1504"/>
      <c r="N51" s="1504"/>
      <c r="O51" s="1504"/>
      <c r="P51" s="1504"/>
      <c r="Q51" s="1504"/>
      <c r="R51" s="1504"/>
      <c r="S51" s="1504"/>
      <c r="T51" s="1504"/>
      <c r="U51" s="1505"/>
    </row>
    <row r="52" spans="2:21" s="35" customFormat="1" x14ac:dyDescent="0.25">
      <c r="B52" s="149"/>
      <c r="C52" s="150"/>
      <c r="D52" s="149"/>
      <c r="E52" s="1504"/>
      <c r="F52" s="1504"/>
      <c r="G52" s="1504"/>
      <c r="H52" s="1504"/>
      <c r="I52" s="1504"/>
      <c r="J52" s="1504"/>
      <c r="K52" s="1504"/>
      <c r="L52" s="1504"/>
      <c r="M52" s="1504"/>
      <c r="N52" s="1504"/>
      <c r="O52" s="1504"/>
      <c r="P52" s="1504"/>
      <c r="Q52" s="1504"/>
      <c r="R52" s="1504"/>
      <c r="S52" s="1504"/>
      <c r="T52" s="1504"/>
      <c r="U52" s="1505"/>
    </row>
    <row r="53" spans="2:21" s="35" customFormat="1" x14ac:dyDescent="0.25">
      <c r="B53" s="38">
        <v>9</v>
      </c>
      <c r="C53" s="195" t="s">
        <v>151</v>
      </c>
      <c r="D53" s="149"/>
      <c r="E53" s="1504"/>
      <c r="F53" s="1504"/>
      <c r="G53" s="1504"/>
      <c r="H53" s="1504"/>
      <c r="I53" s="1504"/>
      <c r="J53" s="1504"/>
      <c r="K53" s="1504"/>
      <c r="L53" s="1504"/>
      <c r="M53" s="1504"/>
      <c r="N53" s="1504"/>
      <c r="O53" s="1504"/>
      <c r="P53" s="1504"/>
      <c r="Q53" s="1504"/>
      <c r="R53" s="1504"/>
      <c r="S53" s="1504"/>
      <c r="T53" s="1504"/>
      <c r="U53" s="1505"/>
    </row>
    <row r="54" spans="2:21" s="35" customFormat="1" x14ac:dyDescent="0.25">
      <c r="B54" s="149">
        <f>B53+0.1</f>
        <v>9.1</v>
      </c>
      <c r="C54" s="150" t="s">
        <v>107</v>
      </c>
      <c r="D54" s="149" t="s">
        <v>98</v>
      </c>
      <c r="E54" s="1504"/>
      <c r="F54" s="1504"/>
      <c r="G54" s="1504"/>
      <c r="H54" s="1504"/>
      <c r="I54" s="1504"/>
      <c r="J54" s="1504"/>
      <c r="K54" s="1504"/>
      <c r="L54" s="1504"/>
      <c r="M54" s="1504"/>
      <c r="N54" s="1504"/>
      <c r="O54" s="1504"/>
      <c r="P54" s="1504"/>
      <c r="Q54" s="1504"/>
      <c r="R54" s="1504"/>
      <c r="S54" s="1504"/>
      <c r="T54" s="1504"/>
      <c r="U54" s="1505"/>
    </row>
    <row r="55" spans="2:21" s="35" customFormat="1" x14ac:dyDescent="0.25">
      <c r="B55" s="149">
        <f>B54+0.1</f>
        <v>9.1999999999999993</v>
      </c>
      <c r="C55" s="150" t="s">
        <v>320</v>
      </c>
      <c r="D55" s="149" t="s">
        <v>98</v>
      </c>
      <c r="E55" s="1506"/>
      <c r="F55" s="1506"/>
      <c r="G55" s="1506"/>
      <c r="H55" s="1506"/>
      <c r="I55" s="1506"/>
      <c r="J55" s="1506"/>
      <c r="K55" s="1506"/>
      <c r="L55" s="1506"/>
      <c r="M55" s="1506"/>
      <c r="N55" s="1506"/>
      <c r="O55" s="1506"/>
      <c r="P55" s="1506"/>
      <c r="Q55" s="1506"/>
      <c r="R55" s="1506"/>
      <c r="S55" s="1506"/>
      <c r="T55" s="1506"/>
      <c r="U55" s="1507"/>
    </row>
    <row r="56" spans="2:21" s="35" customFormat="1" x14ac:dyDescent="0.25">
      <c r="B56" s="192"/>
      <c r="C56" s="193"/>
      <c r="D56" s="194"/>
      <c r="E56" s="194"/>
      <c r="F56" s="194"/>
      <c r="G56" s="194"/>
      <c r="H56" s="194"/>
      <c r="I56" s="192"/>
      <c r="J56" s="192"/>
      <c r="K56" s="192"/>
      <c r="L56" s="192"/>
      <c r="M56" s="192"/>
      <c r="N56" s="192"/>
      <c r="O56" s="192"/>
    </row>
    <row r="57" spans="2:21" s="1" customFormat="1" ht="15" customHeight="1" x14ac:dyDescent="0.3">
      <c r="D57" s="48"/>
      <c r="E57" s="48"/>
      <c r="F57" s="48"/>
      <c r="G57" s="48"/>
      <c r="H57" s="48"/>
      <c r="I57" s="43"/>
      <c r="J57" s="43"/>
      <c r="K57" s="43"/>
      <c r="L57" s="43"/>
      <c r="M57" s="43"/>
      <c r="N57" s="43"/>
      <c r="O57" s="43"/>
    </row>
    <row r="58" spans="2:21" ht="16" x14ac:dyDescent="0.3">
      <c r="B58" s="13" t="s">
        <v>694</v>
      </c>
      <c r="I58" s="43"/>
      <c r="J58" s="43"/>
      <c r="K58" s="43"/>
      <c r="L58" s="43"/>
      <c r="M58" s="43"/>
      <c r="N58" s="43"/>
      <c r="O58" s="43"/>
      <c r="P58" s="1"/>
      <c r="Q58" s="1"/>
      <c r="R58" s="1"/>
      <c r="S58" s="1"/>
      <c r="T58" s="1"/>
    </row>
    <row r="59" spans="2:21" ht="16" x14ac:dyDescent="0.3">
      <c r="B59" s="5">
        <v>2</v>
      </c>
      <c r="C59" s="45" t="s">
        <v>453</v>
      </c>
      <c r="I59" s="43"/>
      <c r="J59" s="43"/>
      <c r="K59" s="43"/>
      <c r="L59" s="43"/>
      <c r="M59" s="43"/>
      <c r="N59" s="43"/>
      <c r="O59" s="43"/>
      <c r="P59" s="1"/>
      <c r="Q59" s="1"/>
      <c r="R59" s="1"/>
      <c r="S59" s="1"/>
      <c r="T59" s="1"/>
    </row>
    <row r="60" spans="2:21" x14ac:dyDescent="0.3">
      <c r="B60" s="5">
        <v>3</v>
      </c>
      <c r="C60" s="5" t="s">
        <v>700</v>
      </c>
      <c r="I60" s="50"/>
      <c r="J60" s="50"/>
      <c r="K60" s="50"/>
      <c r="L60" s="50"/>
      <c r="M60" s="50"/>
      <c r="N60" s="50"/>
      <c r="O60" s="50"/>
      <c r="P60" s="1"/>
      <c r="Q60" s="1"/>
      <c r="R60" s="1"/>
      <c r="S60" s="1"/>
      <c r="T60" s="1"/>
    </row>
    <row r="61" spans="2:21" x14ac:dyDescent="0.3">
      <c r="B61" s="5">
        <v>4</v>
      </c>
      <c r="C61" s="5" t="s">
        <v>698</v>
      </c>
      <c r="M61" s="51"/>
    </row>
  </sheetData>
  <mergeCells count="12">
    <mergeCell ref="E11:U55"/>
    <mergeCell ref="B2:U2"/>
    <mergeCell ref="B3:U3"/>
    <mergeCell ref="B4:U4"/>
    <mergeCell ref="B5:U5"/>
    <mergeCell ref="B7:B9"/>
    <mergeCell ref="C7:C9"/>
    <mergeCell ref="D7:D9"/>
    <mergeCell ref="H7:J7"/>
    <mergeCell ref="K7:O7"/>
    <mergeCell ref="E7:G7"/>
    <mergeCell ref="U7:U9"/>
  </mergeCells>
  <printOptions horizontalCentered="1" verticalCentered="1"/>
  <pageMargins left="0.82677165354330717" right="0.51181102362204722" top="0.43307086614173229" bottom="0.62992125984251968" header="0.51181102362204722" footer="0.51181102362204722"/>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130"/>
  <sheetViews>
    <sheetView showGridLines="0" view="pageBreakPreview" topLeftCell="B1" zoomScale="70" zoomScaleNormal="80" zoomScaleSheetLayoutView="70" workbookViewId="0">
      <pane xSplit="3" ySplit="8" topLeftCell="E9" activePane="bottomRight" state="frozen"/>
      <selection activeCell="B1" sqref="B1"/>
      <selection pane="topRight" activeCell="E1" sqref="E1"/>
      <selection pane="bottomLeft" activeCell="B9" sqref="B9"/>
      <selection pane="bottomRight" activeCell="E10" sqref="E10:T121"/>
    </sheetView>
  </sheetViews>
  <sheetFormatPr defaultColWidth="9.36328125" defaultRowHeight="14" x14ac:dyDescent="0.3"/>
  <cols>
    <col min="1" max="1" width="4.36328125" style="5" customWidth="1"/>
    <col min="2" max="2" width="7.54296875" style="34" customWidth="1"/>
    <col min="3" max="3" width="43.36328125" style="5" customWidth="1"/>
    <col min="4" max="8" width="15.6328125" style="49" customWidth="1"/>
    <col min="9" max="11" width="18.36328125" style="5" customWidth="1"/>
    <col min="12" max="15" width="15.6328125" style="5" customWidth="1"/>
    <col min="16" max="16" width="16.6328125" style="5" customWidth="1"/>
    <col min="17" max="17" width="17.36328125" style="5" customWidth="1"/>
    <col min="18" max="19" width="16.453125" style="5" customWidth="1"/>
    <col min="20" max="20" width="15.6328125" style="5" customWidth="1"/>
    <col min="21" max="16384" width="9.36328125" style="5"/>
  </cols>
  <sheetData>
    <row r="2" spans="2:21" x14ac:dyDescent="0.3">
      <c r="B2" s="1468" t="str">
        <f>Index!B2</f>
        <v xml:space="preserve">      Maharashtra State Power Generation Company Ltd.</v>
      </c>
      <c r="C2" s="1469"/>
      <c r="D2" s="1469"/>
      <c r="E2" s="1469"/>
      <c r="F2" s="1469"/>
      <c r="G2" s="1469"/>
      <c r="H2" s="1469"/>
      <c r="I2" s="1469"/>
      <c r="J2" s="1469"/>
      <c r="K2" s="1469"/>
      <c r="L2" s="1469"/>
      <c r="M2" s="1469"/>
      <c r="N2" s="1469"/>
      <c r="O2" s="1469"/>
      <c r="P2" s="1469"/>
      <c r="Q2" s="1469"/>
      <c r="R2" s="1469"/>
      <c r="S2" s="1469"/>
      <c r="T2" s="1469"/>
    </row>
    <row r="3" spans="2:21" x14ac:dyDescent="0.3">
      <c r="B3" s="1468" t="str">
        <f>Index!B3</f>
        <v>MYT Petition Formats for SHP Hydro</v>
      </c>
      <c r="C3" s="1469"/>
      <c r="D3" s="1469"/>
      <c r="E3" s="1469"/>
      <c r="F3" s="1469"/>
      <c r="G3" s="1469"/>
      <c r="H3" s="1469"/>
      <c r="I3" s="1469"/>
      <c r="J3" s="1469"/>
      <c r="K3" s="1469"/>
      <c r="L3" s="1469"/>
      <c r="M3" s="1469"/>
      <c r="N3" s="1469"/>
      <c r="O3" s="1469"/>
      <c r="P3" s="1469"/>
      <c r="Q3" s="1469"/>
      <c r="R3" s="1469"/>
      <c r="S3" s="1469"/>
      <c r="T3" s="1469"/>
    </row>
    <row r="4" spans="2:21" x14ac:dyDescent="0.3">
      <c r="B4" s="1470" t="s">
        <v>389</v>
      </c>
      <c r="C4" s="1470"/>
      <c r="D4" s="1470"/>
      <c r="E4" s="1470"/>
      <c r="F4" s="1470"/>
      <c r="G4" s="1470"/>
      <c r="H4" s="1470"/>
      <c r="I4" s="1470"/>
      <c r="J4" s="1470"/>
      <c r="K4" s="1470"/>
      <c r="L4" s="1470"/>
      <c r="M4" s="1470"/>
      <c r="N4" s="1470"/>
      <c r="O4" s="1470"/>
      <c r="P4" s="1470"/>
      <c r="Q4" s="1470"/>
      <c r="R4" s="1470"/>
      <c r="S4" s="1470"/>
      <c r="T4" s="1470"/>
    </row>
    <row r="5" spans="2:21" s="13" customFormat="1" x14ac:dyDescent="0.3">
      <c r="B5" s="198"/>
      <c r="C5" s="8"/>
      <c r="D5" s="33"/>
      <c r="E5" s="33"/>
      <c r="F5" s="33"/>
      <c r="G5" s="33"/>
      <c r="H5" s="33"/>
      <c r="I5" s="15"/>
      <c r="J5" s="15"/>
      <c r="K5" s="15"/>
      <c r="L5" s="15"/>
      <c r="M5" s="15"/>
      <c r="N5" s="32"/>
      <c r="O5" s="32"/>
      <c r="P5" s="32"/>
      <c r="Q5" s="32"/>
      <c r="R5" s="32"/>
      <c r="S5" s="32"/>
    </row>
    <row r="6" spans="2:21" s="91" customFormat="1" ht="21" customHeight="1" x14ac:dyDescent="0.25">
      <c r="B6" s="1476" t="s">
        <v>343</v>
      </c>
      <c r="C6" s="1508" t="s">
        <v>37</v>
      </c>
      <c r="D6" s="1508" t="s">
        <v>93</v>
      </c>
      <c r="E6" s="1478" t="s">
        <v>519</v>
      </c>
      <c r="F6" s="1479"/>
      <c r="G6" s="1480"/>
      <c r="H6" s="1478" t="s">
        <v>520</v>
      </c>
      <c r="I6" s="1479"/>
      <c r="J6" s="1480"/>
      <c r="K6" s="1478" t="s">
        <v>521</v>
      </c>
      <c r="L6" s="1479"/>
      <c r="M6" s="1479"/>
      <c r="N6" s="1479"/>
      <c r="O6" s="1480"/>
      <c r="P6" s="588" t="s">
        <v>940</v>
      </c>
      <c r="Q6" s="588" t="s">
        <v>941</v>
      </c>
      <c r="R6" s="588" t="s">
        <v>945</v>
      </c>
      <c r="S6" s="588" t="s">
        <v>942</v>
      </c>
      <c r="T6" s="588" t="s">
        <v>944</v>
      </c>
      <c r="U6" s="1476" t="s">
        <v>27</v>
      </c>
    </row>
    <row r="7" spans="2:21" s="91" customFormat="1" ht="28" x14ac:dyDescent="0.25">
      <c r="B7" s="1508"/>
      <c r="C7" s="1508"/>
      <c r="D7" s="1508"/>
      <c r="E7" s="587" t="s">
        <v>982</v>
      </c>
      <c r="F7" s="589" t="s">
        <v>79</v>
      </c>
      <c r="G7" s="589" t="s">
        <v>459</v>
      </c>
      <c r="H7" s="587" t="s">
        <v>982</v>
      </c>
      <c r="I7" s="589" t="s">
        <v>79</v>
      </c>
      <c r="J7" s="589" t="s">
        <v>459</v>
      </c>
      <c r="K7" s="589" t="s">
        <v>982</v>
      </c>
      <c r="L7" s="589" t="s">
        <v>449</v>
      </c>
      <c r="M7" s="589" t="s">
        <v>455</v>
      </c>
      <c r="N7" s="589" t="s">
        <v>80</v>
      </c>
      <c r="O7" s="589" t="s">
        <v>460</v>
      </c>
      <c r="P7" s="589" t="s">
        <v>943</v>
      </c>
      <c r="Q7" s="589" t="s">
        <v>943</v>
      </c>
      <c r="R7" s="589" t="s">
        <v>943</v>
      </c>
      <c r="S7" s="589" t="s">
        <v>943</v>
      </c>
      <c r="T7" s="589" t="s">
        <v>943</v>
      </c>
      <c r="U7" s="1476"/>
    </row>
    <row r="8" spans="2:21" s="91" customFormat="1" x14ac:dyDescent="0.25">
      <c r="B8" s="1508"/>
      <c r="C8" s="1508"/>
      <c r="D8" s="1508"/>
      <c r="E8" s="589" t="s">
        <v>81</v>
      </c>
      <c r="F8" s="589" t="s">
        <v>82</v>
      </c>
      <c r="G8" s="589" t="s">
        <v>692</v>
      </c>
      <c r="H8" s="589" t="s">
        <v>397</v>
      </c>
      <c r="I8" s="589" t="s">
        <v>414</v>
      </c>
      <c r="J8" s="589" t="s">
        <v>465</v>
      </c>
      <c r="K8" s="589" t="s">
        <v>415</v>
      </c>
      <c r="L8" s="589" t="s">
        <v>416</v>
      </c>
      <c r="M8" s="589" t="s">
        <v>603</v>
      </c>
      <c r="N8" s="589" t="s">
        <v>693</v>
      </c>
      <c r="O8" s="589" t="s">
        <v>516</v>
      </c>
      <c r="P8" s="589" t="s">
        <v>605</v>
      </c>
      <c r="Q8" s="589" t="s">
        <v>606</v>
      </c>
      <c r="R8" s="589" t="s">
        <v>607</v>
      </c>
      <c r="S8" s="589" t="s">
        <v>672</v>
      </c>
      <c r="T8" s="589" t="s">
        <v>608</v>
      </c>
      <c r="U8" s="1477"/>
    </row>
    <row r="9" spans="2:21" s="35" customFormat="1" ht="14" customHeight="1" x14ac:dyDescent="0.3">
      <c r="B9" s="199"/>
      <c r="C9" s="146"/>
      <c r="D9" s="146"/>
      <c r="E9" s="427"/>
      <c r="F9" s="427"/>
      <c r="G9" s="427"/>
      <c r="H9" s="427"/>
      <c r="I9" s="344"/>
      <c r="J9" s="344"/>
      <c r="K9" s="344"/>
      <c r="L9" s="344"/>
      <c r="M9" s="344"/>
      <c r="N9" s="344"/>
      <c r="O9" s="344"/>
      <c r="P9" s="344"/>
      <c r="Q9" s="344"/>
      <c r="R9" s="344"/>
      <c r="S9" s="344"/>
      <c r="T9" s="79"/>
    </row>
    <row r="10" spans="2:21" s="35" customFormat="1" ht="14" customHeight="1" x14ac:dyDescent="0.3">
      <c r="B10" s="200">
        <v>1</v>
      </c>
      <c r="C10" s="147" t="s">
        <v>94</v>
      </c>
      <c r="D10" s="148"/>
      <c r="E10" s="1509" t="s">
        <v>839</v>
      </c>
      <c r="F10" s="1509"/>
      <c r="G10" s="1509"/>
      <c r="H10" s="1509"/>
      <c r="I10" s="1509"/>
      <c r="J10" s="1509"/>
      <c r="K10" s="1509"/>
      <c r="L10" s="1509"/>
      <c r="M10" s="1509"/>
      <c r="N10" s="1509"/>
      <c r="O10" s="1509"/>
      <c r="P10" s="1509"/>
      <c r="Q10" s="1509"/>
      <c r="R10" s="1509"/>
      <c r="S10" s="1509"/>
      <c r="T10" s="1510"/>
    </row>
    <row r="11" spans="2:21" s="35" customFormat="1" ht="14" customHeight="1" x14ac:dyDescent="0.3">
      <c r="B11" s="201">
        <f>B10+0.1</f>
        <v>1.1000000000000001</v>
      </c>
      <c r="C11" s="150" t="s">
        <v>95</v>
      </c>
      <c r="D11" s="149" t="s">
        <v>96</v>
      </c>
      <c r="E11" s="1511"/>
      <c r="F11" s="1511"/>
      <c r="G11" s="1511"/>
      <c r="H11" s="1511"/>
      <c r="I11" s="1511"/>
      <c r="J11" s="1511"/>
      <c r="K11" s="1511"/>
      <c r="L11" s="1511"/>
      <c r="M11" s="1511"/>
      <c r="N11" s="1511"/>
      <c r="O11" s="1511"/>
      <c r="P11" s="1511"/>
      <c r="Q11" s="1511"/>
      <c r="R11" s="1511"/>
      <c r="S11" s="1511"/>
      <c r="T11" s="1512"/>
    </row>
    <row r="12" spans="2:21" s="35" customFormat="1" ht="14" customHeight="1" x14ac:dyDescent="0.3">
      <c r="B12" s="201">
        <f t="shared" ref="B12" si="0">B11+0.1</f>
        <v>1.2000000000000002</v>
      </c>
      <c r="C12" s="150" t="s">
        <v>97</v>
      </c>
      <c r="D12" s="149" t="s">
        <v>98</v>
      </c>
      <c r="E12" s="1511"/>
      <c r="F12" s="1511"/>
      <c r="G12" s="1511"/>
      <c r="H12" s="1511"/>
      <c r="I12" s="1511"/>
      <c r="J12" s="1511"/>
      <c r="K12" s="1511"/>
      <c r="L12" s="1511"/>
      <c r="M12" s="1511"/>
      <c r="N12" s="1511"/>
      <c r="O12" s="1511"/>
      <c r="P12" s="1511"/>
      <c r="Q12" s="1511"/>
      <c r="R12" s="1511"/>
      <c r="S12" s="1511"/>
      <c r="T12" s="1512"/>
    </row>
    <row r="13" spans="2:21" s="35" customFormat="1" ht="14" customHeight="1" x14ac:dyDescent="0.3">
      <c r="B13" s="201">
        <v>1.3</v>
      </c>
      <c r="C13" s="150" t="s">
        <v>705</v>
      </c>
      <c r="D13" s="149" t="s">
        <v>98</v>
      </c>
      <c r="E13" s="1511"/>
      <c r="F13" s="1511"/>
      <c r="G13" s="1511"/>
      <c r="H13" s="1511"/>
      <c r="I13" s="1511"/>
      <c r="J13" s="1511"/>
      <c r="K13" s="1511"/>
      <c r="L13" s="1511"/>
      <c r="M13" s="1511"/>
      <c r="N13" s="1511"/>
      <c r="O13" s="1511"/>
      <c r="P13" s="1511"/>
      <c r="Q13" s="1511"/>
      <c r="R13" s="1511"/>
      <c r="S13" s="1511"/>
      <c r="T13" s="1512"/>
    </row>
    <row r="14" spans="2:21" s="35" customFormat="1" ht="14" customHeight="1" x14ac:dyDescent="0.3">
      <c r="B14" s="201" t="s">
        <v>706</v>
      </c>
      <c r="C14" s="325" t="s">
        <v>660</v>
      </c>
      <c r="D14" s="149" t="s">
        <v>98</v>
      </c>
      <c r="E14" s="1511"/>
      <c r="F14" s="1511"/>
      <c r="G14" s="1511"/>
      <c r="H14" s="1511"/>
      <c r="I14" s="1511"/>
      <c r="J14" s="1511"/>
      <c r="K14" s="1511"/>
      <c r="L14" s="1511"/>
      <c r="M14" s="1511"/>
      <c r="N14" s="1511"/>
      <c r="O14" s="1511"/>
      <c r="P14" s="1511"/>
      <c r="Q14" s="1511"/>
      <c r="R14" s="1511"/>
      <c r="S14" s="1511"/>
      <c r="T14" s="1512"/>
    </row>
    <row r="15" spans="2:21" s="35" customFormat="1" ht="14" customHeight="1" x14ac:dyDescent="0.3">
      <c r="B15" s="201"/>
      <c r="C15" s="326" t="s">
        <v>661</v>
      </c>
      <c r="D15" s="149" t="s">
        <v>98</v>
      </c>
      <c r="E15" s="1511"/>
      <c r="F15" s="1511"/>
      <c r="G15" s="1511"/>
      <c r="H15" s="1511"/>
      <c r="I15" s="1511"/>
      <c r="J15" s="1511"/>
      <c r="K15" s="1511"/>
      <c r="L15" s="1511"/>
      <c r="M15" s="1511"/>
      <c r="N15" s="1511"/>
      <c r="O15" s="1511"/>
      <c r="P15" s="1511"/>
      <c r="Q15" s="1511"/>
      <c r="R15" s="1511"/>
      <c r="S15" s="1511"/>
      <c r="T15" s="1512"/>
    </row>
    <row r="16" spans="2:21" s="35" customFormat="1" ht="14" customHeight="1" x14ac:dyDescent="0.3">
      <c r="B16" s="201"/>
      <c r="C16" s="326" t="s">
        <v>662</v>
      </c>
      <c r="D16" s="149" t="s">
        <v>98</v>
      </c>
      <c r="E16" s="1511"/>
      <c r="F16" s="1511"/>
      <c r="G16" s="1511"/>
      <c r="H16" s="1511"/>
      <c r="I16" s="1511"/>
      <c r="J16" s="1511"/>
      <c r="K16" s="1511"/>
      <c r="L16" s="1511"/>
      <c r="M16" s="1511"/>
      <c r="N16" s="1511"/>
      <c r="O16" s="1511"/>
      <c r="P16" s="1511"/>
      <c r="Q16" s="1511"/>
      <c r="R16" s="1511"/>
      <c r="S16" s="1511"/>
      <c r="T16" s="1512"/>
    </row>
    <row r="17" spans="2:20" s="35" customFormat="1" ht="14" customHeight="1" x14ac:dyDescent="0.3">
      <c r="B17" s="201" t="s">
        <v>707</v>
      </c>
      <c r="C17" s="325" t="s">
        <v>663</v>
      </c>
      <c r="D17" s="149" t="s">
        <v>98</v>
      </c>
      <c r="E17" s="1511"/>
      <c r="F17" s="1511"/>
      <c r="G17" s="1511"/>
      <c r="H17" s="1511"/>
      <c r="I17" s="1511"/>
      <c r="J17" s="1511"/>
      <c r="K17" s="1511"/>
      <c r="L17" s="1511"/>
      <c r="M17" s="1511"/>
      <c r="N17" s="1511"/>
      <c r="O17" s="1511"/>
      <c r="P17" s="1511"/>
      <c r="Q17" s="1511"/>
      <c r="R17" s="1511"/>
      <c r="S17" s="1511"/>
      <c r="T17" s="1512"/>
    </row>
    <row r="18" spans="2:20" s="35" customFormat="1" ht="14" customHeight="1" x14ac:dyDescent="0.3">
      <c r="B18" s="201"/>
      <c r="C18" s="326" t="s">
        <v>661</v>
      </c>
      <c r="D18" s="149" t="s">
        <v>98</v>
      </c>
      <c r="E18" s="1511"/>
      <c r="F18" s="1511"/>
      <c r="G18" s="1511"/>
      <c r="H18" s="1511"/>
      <c r="I18" s="1511"/>
      <c r="J18" s="1511"/>
      <c r="K18" s="1511"/>
      <c r="L18" s="1511"/>
      <c r="M18" s="1511"/>
      <c r="N18" s="1511"/>
      <c r="O18" s="1511"/>
      <c r="P18" s="1511"/>
      <c r="Q18" s="1511"/>
      <c r="R18" s="1511"/>
      <c r="S18" s="1511"/>
      <c r="T18" s="1512"/>
    </row>
    <row r="19" spans="2:20" s="35" customFormat="1" ht="14" customHeight="1" x14ac:dyDescent="0.3">
      <c r="B19" s="201"/>
      <c r="C19" s="326" t="s">
        <v>662</v>
      </c>
      <c r="D19" s="149" t="s">
        <v>98</v>
      </c>
      <c r="E19" s="1511"/>
      <c r="F19" s="1511"/>
      <c r="G19" s="1511"/>
      <c r="H19" s="1511"/>
      <c r="I19" s="1511"/>
      <c r="J19" s="1511"/>
      <c r="K19" s="1511"/>
      <c r="L19" s="1511"/>
      <c r="M19" s="1511"/>
      <c r="N19" s="1511"/>
      <c r="O19" s="1511"/>
      <c r="P19" s="1511"/>
      <c r="Q19" s="1511"/>
      <c r="R19" s="1511"/>
      <c r="S19" s="1511"/>
      <c r="T19" s="1512"/>
    </row>
    <row r="20" spans="2:20" s="35" customFormat="1" ht="14" customHeight="1" x14ac:dyDescent="0.3">
      <c r="B20" s="201">
        <v>1.4</v>
      </c>
      <c r="C20" s="150" t="s">
        <v>99</v>
      </c>
      <c r="D20" s="149" t="s">
        <v>98</v>
      </c>
      <c r="E20" s="1511"/>
      <c r="F20" s="1511"/>
      <c r="G20" s="1511"/>
      <c r="H20" s="1511"/>
      <c r="I20" s="1511"/>
      <c r="J20" s="1511"/>
      <c r="K20" s="1511"/>
      <c r="L20" s="1511"/>
      <c r="M20" s="1511"/>
      <c r="N20" s="1511"/>
      <c r="O20" s="1511"/>
      <c r="P20" s="1511"/>
      <c r="Q20" s="1511"/>
      <c r="R20" s="1511"/>
      <c r="S20" s="1511"/>
      <c r="T20" s="1512"/>
    </row>
    <row r="21" spans="2:20" s="35" customFormat="1" ht="14" customHeight="1" x14ac:dyDescent="0.3">
      <c r="B21" s="201">
        <v>1.5</v>
      </c>
      <c r="C21" s="150" t="s">
        <v>708</v>
      </c>
      <c r="D21" s="149" t="s">
        <v>98</v>
      </c>
      <c r="E21" s="1511"/>
      <c r="F21" s="1511"/>
      <c r="G21" s="1511"/>
      <c r="H21" s="1511"/>
      <c r="I21" s="1511"/>
      <c r="J21" s="1511"/>
      <c r="K21" s="1511"/>
      <c r="L21" s="1511"/>
      <c r="M21" s="1511"/>
      <c r="N21" s="1511"/>
      <c r="O21" s="1511"/>
      <c r="P21" s="1511"/>
      <c r="Q21" s="1511"/>
      <c r="R21" s="1511"/>
      <c r="S21" s="1511"/>
      <c r="T21" s="1512"/>
    </row>
    <row r="22" spans="2:20" s="35" customFormat="1" ht="14" customHeight="1" x14ac:dyDescent="0.3">
      <c r="B22" s="201">
        <v>1.6</v>
      </c>
      <c r="C22" s="290" t="s">
        <v>696</v>
      </c>
      <c r="D22" s="149" t="s">
        <v>98</v>
      </c>
      <c r="E22" s="1511"/>
      <c r="F22" s="1511"/>
      <c r="G22" s="1511"/>
      <c r="H22" s="1511"/>
      <c r="I22" s="1511"/>
      <c r="J22" s="1511"/>
      <c r="K22" s="1511"/>
      <c r="L22" s="1511"/>
      <c r="M22" s="1511"/>
      <c r="N22" s="1511"/>
      <c r="O22" s="1511"/>
      <c r="P22" s="1511"/>
      <c r="Q22" s="1511"/>
      <c r="R22" s="1511"/>
      <c r="S22" s="1511"/>
      <c r="T22" s="1512"/>
    </row>
    <row r="23" spans="2:20" s="35" customFormat="1" ht="14" customHeight="1" x14ac:dyDescent="0.3">
      <c r="B23" s="201">
        <v>1.7</v>
      </c>
      <c r="C23" s="151" t="s">
        <v>709</v>
      </c>
      <c r="D23" s="149" t="s">
        <v>100</v>
      </c>
      <c r="E23" s="1511"/>
      <c r="F23" s="1511"/>
      <c r="G23" s="1511"/>
      <c r="H23" s="1511"/>
      <c r="I23" s="1511"/>
      <c r="J23" s="1511"/>
      <c r="K23" s="1511"/>
      <c r="L23" s="1511"/>
      <c r="M23" s="1511"/>
      <c r="N23" s="1511"/>
      <c r="O23" s="1511"/>
      <c r="P23" s="1511"/>
      <c r="Q23" s="1511"/>
      <c r="R23" s="1511"/>
      <c r="S23" s="1511"/>
      <c r="T23" s="1512"/>
    </row>
    <row r="24" spans="2:20" s="35" customFormat="1" ht="14" customHeight="1" x14ac:dyDescent="0.3">
      <c r="B24" s="201">
        <v>1.8</v>
      </c>
      <c r="C24" s="150" t="s">
        <v>715</v>
      </c>
      <c r="D24" s="149" t="s">
        <v>100</v>
      </c>
      <c r="E24" s="1511"/>
      <c r="F24" s="1511"/>
      <c r="G24" s="1511"/>
      <c r="H24" s="1511"/>
      <c r="I24" s="1511"/>
      <c r="J24" s="1511"/>
      <c r="K24" s="1511"/>
      <c r="L24" s="1511"/>
      <c r="M24" s="1511"/>
      <c r="N24" s="1511"/>
      <c r="O24" s="1511"/>
      <c r="P24" s="1511"/>
      <c r="Q24" s="1511"/>
      <c r="R24" s="1511"/>
      <c r="S24" s="1511"/>
      <c r="T24" s="1512"/>
    </row>
    <row r="25" spans="2:20" s="35" customFormat="1" ht="14" customHeight="1" x14ac:dyDescent="0.3">
      <c r="B25" s="343">
        <v>1.9</v>
      </c>
      <c r="C25" s="151" t="s">
        <v>101</v>
      </c>
      <c r="D25" s="149" t="s">
        <v>98</v>
      </c>
      <c r="E25" s="1511"/>
      <c r="F25" s="1511"/>
      <c r="G25" s="1511"/>
      <c r="H25" s="1511"/>
      <c r="I25" s="1511"/>
      <c r="J25" s="1511"/>
      <c r="K25" s="1511"/>
      <c r="L25" s="1511"/>
      <c r="M25" s="1511"/>
      <c r="N25" s="1511"/>
      <c r="O25" s="1511"/>
      <c r="P25" s="1511"/>
      <c r="Q25" s="1511"/>
      <c r="R25" s="1511"/>
      <c r="S25" s="1511"/>
      <c r="T25" s="1512"/>
    </row>
    <row r="26" spans="2:20" s="35" customFormat="1" ht="28" customHeight="1" x14ac:dyDescent="0.25">
      <c r="B26" s="342">
        <v>1.1000000000000001</v>
      </c>
      <c r="C26" s="151" t="s">
        <v>710</v>
      </c>
      <c r="D26" s="149" t="s">
        <v>98</v>
      </c>
      <c r="E26" s="1511"/>
      <c r="F26" s="1511"/>
      <c r="G26" s="1511"/>
      <c r="H26" s="1511"/>
      <c r="I26" s="1511"/>
      <c r="J26" s="1511"/>
      <c r="K26" s="1511"/>
      <c r="L26" s="1511"/>
      <c r="M26" s="1511"/>
      <c r="N26" s="1511"/>
      <c r="O26" s="1511"/>
      <c r="P26" s="1511"/>
      <c r="Q26" s="1511"/>
      <c r="R26" s="1511"/>
      <c r="S26" s="1511"/>
      <c r="T26" s="1512"/>
    </row>
    <row r="27" spans="2:20" s="35" customFormat="1" ht="28" customHeight="1" x14ac:dyDescent="0.25">
      <c r="B27" s="149">
        <v>1.1100000000000001</v>
      </c>
      <c r="C27" s="151" t="s">
        <v>703</v>
      </c>
      <c r="D27" s="149" t="s">
        <v>98</v>
      </c>
      <c r="E27" s="1511"/>
      <c r="F27" s="1511"/>
      <c r="G27" s="1511"/>
      <c r="H27" s="1511"/>
      <c r="I27" s="1511"/>
      <c r="J27" s="1511"/>
      <c r="K27" s="1511"/>
      <c r="L27" s="1511"/>
      <c r="M27" s="1511"/>
      <c r="N27" s="1511"/>
      <c r="O27" s="1511"/>
      <c r="P27" s="1511"/>
      <c r="Q27" s="1511"/>
      <c r="R27" s="1511"/>
      <c r="S27" s="1511"/>
      <c r="T27" s="1512"/>
    </row>
    <row r="28" spans="2:20" s="35" customFormat="1" ht="28" customHeight="1" x14ac:dyDescent="0.25">
      <c r="B28" s="149">
        <v>1.1200000000000001</v>
      </c>
      <c r="C28" s="151" t="s">
        <v>711</v>
      </c>
      <c r="D28" s="149" t="s">
        <v>98</v>
      </c>
      <c r="E28" s="1511"/>
      <c r="F28" s="1511"/>
      <c r="G28" s="1511"/>
      <c r="H28" s="1511"/>
      <c r="I28" s="1511"/>
      <c r="J28" s="1511"/>
      <c r="K28" s="1511"/>
      <c r="L28" s="1511"/>
      <c r="M28" s="1511"/>
      <c r="N28" s="1511"/>
      <c r="O28" s="1511"/>
      <c r="P28" s="1511"/>
      <c r="Q28" s="1511"/>
      <c r="R28" s="1511"/>
      <c r="S28" s="1511"/>
      <c r="T28" s="1512"/>
    </row>
    <row r="29" spans="2:20" s="35" customFormat="1" ht="14" customHeight="1" x14ac:dyDescent="0.3">
      <c r="B29" s="202">
        <v>1.1299999999999999</v>
      </c>
      <c r="C29" s="151" t="s">
        <v>317</v>
      </c>
      <c r="D29" s="149" t="s">
        <v>100</v>
      </c>
      <c r="E29" s="1511"/>
      <c r="F29" s="1511"/>
      <c r="G29" s="1511"/>
      <c r="H29" s="1511"/>
      <c r="I29" s="1511"/>
      <c r="J29" s="1511"/>
      <c r="K29" s="1511"/>
      <c r="L29" s="1511"/>
      <c r="M29" s="1511"/>
      <c r="N29" s="1511"/>
      <c r="O29" s="1511"/>
      <c r="P29" s="1511"/>
      <c r="Q29" s="1511"/>
      <c r="R29" s="1511"/>
      <c r="S29" s="1511"/>
      <c r="T29" s="1512"/>
    </row>
    <row r="30" spans="2:20" s="35" customFormat="1" ht="28" customHeight="1" x14ac:dyDescent="0.25">
      <c r="B30" s="342">
        <v>1.1399999999999999</v>
      </c>
      <c r="C30" s="151" t="s">
        <v>712</v>
      </c>
      <c r="D30" s="149" t="s">
        <v>100</v>
      </c>
      <c r="E30" s="1511"/>
      <c r="F30" s="1511"/>
      <c r="G30" s="1511"/>
      <c r="H30" s="1511"/>
      <c r="I30" s="1511"/>
      <c r="J30" s="1511"/>
      <c r="K30" s="1511"/>
      <c r="L30" s="1511"/>
      <c r="M30" s="1511"/>
      <c r="N30" s="1511"/>
      <c r="O30" s="1511"/>
      <c r="P30" s="1511"/>
      <c r="Q30" s="1511"/>
      <c r="R30" s="1511"/>
      <c r="S30" s="1511"/>
      <c r="T30" s="1512"/>
    </row>
    <row r="31" spans="2:20" s="35" customFormat="1" ht="14" customHeight="1" x14ac:dyDescent="0.3">
      <c r="B31" s="201">
        <v>1.1499999999999999</v>
      </c>
      <c r="C31" s="151" t="s">
        <v>713</v>
      </c>
      <c r="D31" s="149" t="s">
        <v>100</v>
      </c>
      <c r="E31" s="1511"/>
      <c r="F31" s="1511"/>
      <c r="G31" s="1511"/>
      <c r="H31" s="1511"/>
      <c r="I31" s="1511"/>
      <c r="J31" s="1511"/>
      <c r="K31" s="1511"/>
      <c r="L31" s="1511"/>
      <c r="M31" s="1511"/>
      <c r="N31" s="1511"/>
      <c r="O31" s="1511"/>
      <c r="P31" s="1511"/>
      <c r="Q31" s="1511"/>
      <c r="R31" s="1511"/>
      <c r="S31" s="1511"/>
      <c r="T31" s="1512"/>
    </row>
    <row r="32" spans="2:20" s="35" customFormat="1" ht="14" customHeight="1" x14ac:dyDescent="0.3">
      <c r="B32" s="201">
        <v>1.1599999999999999</v>
      </c>
      <c r="C32" s="150" t="s">
        <v>714</v>
      </c>
      <c r="D32" s="149" t="s">
        <v>100</v>
      </c>
      <c r="E32" s="1511"/>
      <c r="F32" s="1511"/>
      <c r="G32" s="1511"/>
      <c r="H32" s="1511"/>
      <c r="I32" s="1511"/>
      <c r="J32" s="1511"/>
      <c r="K32" s="1511"/>
      <c r="L32" s="1511"/>
      <c r="M32" s="1511"/>
      <c r="N32" s="1511"/>
      <c r="O32" s="1511"/>
      <c r="P32" s="1511"/>
      <c r="Q32" s="1511"/>
      <c r="R32" s="1511"/>
      <c r="S32" s="1511"/>
      <c r="T32" s="1512"/>
    </row>
    <row r="33" spans="2:20" s="35" customFormat="1" ht="14" customHeight="1" x14ac:dyDescent="0.3">
      <c r="B33" s="201">
        <v>1.17</v>
      </c>
      <c r="C33" s="151" t="s">
        <v>103</v>
      </c>
      <c r="D33" s="149" t="s">
        <v>104</v>
      </c>
      <c r="E33" s="1511"/>
      <c r="F33" s="1511"/>
      <c r="G33" s="1511"/>
      <c r="H33" s="1511"/>
      <c r="I33" s="1511"/>
      <c r="J33" s="1511"/>
      <c r="K33" s="1511"/>
      <c r="L33" s="1511"/>
      <c r="M33" s="1511"/>
      <c r="N33" s="1511"/>
      <c r="O33" s="1511"/>
      <c r="P33" s="1511"/>
      <c r="Q33" s="1511"/>
      <c r="R33" s="1511"/>
      <c r="S33" s="1511"/>
      <c r="T33" s="1512"/>
    </row>
    <row r="34" spans="2:20" s="35" customFormat="1" ht="28" customHeight="1" x14ac:dyDescent="0.25">
      <c r="B34" s="149">
        <v>1.18</v>
      </c>
      <c r="C34" s="150" t="s">
        <v>716</v>
      </c>
      <c r="D34" s="149" t="s">
        <v>104</v>
      </c>
      <c r="E34" s="1511"/>
      <c r="F34" s="1511"/>
      <c r="G34" s="1511"/>
      <c r="H34" s="1511"/>
      <c r="I34" s="1511"/>
      <c r="J34" s="1511"/>
      <c r="K34" s="1511"/>
      <c r="L34" s="1511"/>
      <c r="M34" s="1511"/>
      <c r="N34" s="1511"/>
      <c r="O34" s="1511"/>
      <c r="P34" s="1511"/>
      <c r="Q34" s="1511"/>
      <c r="R34" s="1511"/>
      <c r="S34" s="1511"/>
      <c r="T34" s="1512"/>
    </row>
    <row r="35" spans="2:20" s="35" customFormat="1" ht="14" customHeight="1" x14ac:dyDescent="0.3">
      <c r="B35" s="201">
        <v>1.19</v>
      </c>
      <c r="C35" s="150" t="s">
        <v>105</v>
      </c>
      <c r="D35" s="149" t="s">
        <v>106</v>
      </c>
      <c r="E35" s="1511"/>
      <c r="F35" s="1511"/>
      <c r="G35" s="1511"/>
      <c r="H35" s="1511"/>
      <c r="I35" s="1511"/>
      <c r="J35" s="1511"/>
      <c r="K35" s="1511"/>
      <c r="L35" s="1511"/>
      <c r="M35" s="1511"/>
      <c r="N35" s="1511"/>
      <c r="O35" s="1511"/>
      <c r="P35" s="1511"/>
      <c r="Q35" s="1511"/>
      <c r="R35" s="1511"/>
      <c r="S35" s="1511"/>
      <c r="T35" s="1512"/>
    </row>
    <row r="36" spans="2:20" s="35" customFormat="1" ht="28" customHeight="1" x14ac:dyDescent="0.25">
      <c r="B36" s="342">
        <v>1.2</v>
      </c>
      <c r="C36" s="150" t="s">
        <v>717</v>
      </c>
      <c r="D36" s="149" t="s">
        <v>106</v>
      </c>
      <c r="E36" s="1511"/>
      <c r="F36" s="1511"/>
      <c r="G36" s="1511"/>
      <c r="H36" s="1511"/>
      <c r="I36" s="1511"/>
      <c r="J36" s="1511"/>
      <c r="K36" s="1511"/>
      <c r="L36" s="1511"/>
      <c r="M36" s="1511"/>
      <c r="N36" s="1511"/>
      <c r="O36" s="1511"/>
      <c r="P36" s="1511"/>
      <c r="Q36" s="1511"/>
      <c r="R36" s="1511"/>
      <c r="S36" s="1511"/>
      <c r="T36" s="1512"/>
    </row>
    <row r="37" spans="2:20" s="35" customFormat="1" ht="14" customHeight="1" x14ac:dyDescent="0.3">
      <c r="B37" s="201">
        <v>1.21</v>
      </c>
      <c r="C37" s="150" t="s">
        <v>107</v>
      </c>
      <c r="D37" s="149" t="s">
        <v>98</v>
      </c>
      <c r="E37" s="1511"/>
      <c r="F37" s="1511"/>
      <c r="G37" s="1511"/>
      <c r="H37" s="1511"/>
      <c r="I37" s="1511"/>
      <c r="J37" s="1511"/>
      <c r="K37" s="1511"/>
      <c r="L37" s="1511"/>
      <c r="M37" s="1511"/>
      <c r="N37" s="1511"/>
      <c r="O37" s="1511"/>
      <c r="P37" s="1511"/>
      <c r="Q37" s="1511"/>
      <c r="R37" s="1511"/>
      <c r="S37" s="1511"/>
      <c r="T37" s="1512"/>
    </row>
    <row r="38" spans="2:20" s="35" customFormat="1" ht="14" customHeight="1" x14ac:dyDescent="0.3">
      <c r="B38" s="201">
        <v>1.22</v>
      </c>
      <c r="C38" s="150" t="s">
        <v>718</v>
      </c>
      <c r="D38" s="149" t="s">
        <v>98</v>
      </c>
      <c r="E38" s="1511"/>
      <c r="F38" s="1511"/>
      <c r="G38" s="1511"/>
      <c r="H38" s="1511"/>
      <c r="I38" s="1511"/>
      <c r="J38" s="1511"/>
      <c r="K38" s="1511"/>
      <c r="L38" s="1511"/>
      <c r="M38" s="1511"/>
      <c r="N38" s="1511"/>
      <c r="O38" s="1511"/>
      <c r="P38" s="1511"/>
      <c r="Q38" s="1511"/>
      <c r="R38" s="1511"/>
      <c r="S38" s="1511"/>
      <c r="T38" s="1512"/>
    </row>
    <row r="39" spans="2:20" s="35" customFormat="1" ht="14" customHeight="1" x14ac:dyDescent="0.3">
      <c r="B39" s="200"/>
      <c r="C39" s="147"/>
      <c r="D39" s="148"/>
      <c r="E39" s="1511"/>
      <c r="F39" s="1511"/>
      <c r="G39" s="1511"/>
      <c r="H39" s="1511"/>
      <c r="I39" s="1511"/>
      <c r="J39" s="1511"/>
      <c r="K39" s="1511"/>
      <c r="L39" s="1511"/>
      <c r="M39" s="1511"/>
      <c r="N39" s="1511"/>
      <c r="O39" s="1511"/>
      <c r="P39" s="1511"/>
      <c r="Q39" s="1511"/>
      <c r="R39" s="1511"/>
      <c r="S39" s="1511"/>
      <c r="T39" s="1512"/>
    </row>
    <row r="40" spans="2:20" s="35" customFormat="1" ht="14" customHeight="1" x14ac:dyDescent="0.3">
      <c r="B40" s="200">
        <v>2</v>
      </c>
      <c r="C40" s="197" t="s">
        <v>108</v>
      </c>
      <c r="D40" s="148"/>
      <c r="E40" s="1511"/>
      <c r="F40" s="1511"/>
      <c r="G40" s="1511"/>
      <c r="H40" s="1511"/>
      <c r="I40" s="1511"/>
      <c r="J40" s="1511"/>
      <c r="K40" s="1511"/>
      <c r="L40" s="1511"/>
      <c r="M40" s="1511"/>
      <c r="N40" s="1511"/>
      <c r="O40" s="1511"/>
      <c r="P40" s="1511"/>
      <c r="Q40" s="1511"/>
      <c r="R40" s="1511"/>
      <c r="S40" s="1511"/>
      <c r="T40" s="1512"/>
    </row>
    <row r="41" spans="2:20" s="35" customFormat="1" ht="14" customHeight="1" x14ac:dyDescent="0.3">
      <c r="B41" s="200">
        <v>2.1</v>
      </c>
      <c r="C41" s="147" t="s">
        <v>592</v>
      </c>
      <c r="D41" s="148"/>
      <c r="E41" s="1511"/>
      <c r="F41" s="1511"/>
      <c r="G41" s="1511"/>
      <c r="H41" s="1511"/>
      <c r="I41" s="1511"/>
      <c r="J41" s="1511"/>
      <c r="K41" s="1511"/>
      <c r="L41" s="1511"/>
      <c r="M41" s="1511"/>
      <c r="N41" s="1511"/>
      <c r="O41" s="1511"/>
      <c r="P41" s="1511"/>
      <c r="Q41" s="1511"/>
      <c r="R41" s="1511"/>
      <c r="S41" s="1511"/>
      <c r="T41" s="1512"/>
    </row>
    <row r="42" spans="2:20" s="35" customFormat="1" ht="14" customHeight="1" x14ac:dyDescent="0.3">
      <c r="B42" s="201" t="s">
        <v>109</v>
      </c>
      <c r="C42" s="152" t="s">
        <v>780</v>
      </c>
      <c r="D42" s="149" t="s">
        <v>110</v>
      </c>
      <c r="E42" s="1511"/>
      <c r="F42" s="1511"/>
      <c r="G42" s="1511"/>
      <c r="H42" s="1511"/>
      <c r="I42" s="1511"/>
      <c r="J42" s="1511"/>
      <c r="K42" s="1511"/>
      <c r="L42" s="1511"/>
      <c r="M42" s="1511"/>
      <c r="N42" s="1511"/>
      <c r="O42" s="1511"/>
      <c r="P42" s="1511"/>
      <c r="Q42" s="1511"/>
      <c r="R42" s="1511"/>
      <c r="S42" s="1511"/>
      <c r="T42" s="1512"/>
    </row>
    <row r="43" spans="2:20" s="35" customFormat="1" ht="14" customHeight="1" x14ac:dyDescent="0.3">
      <c r="B43" s="201" t="s">
        <v>111</v>
      </c>
      <c r="C43" s="152" t="s">
        <v>781</v>
      </c>
      <c r="D43" s="149" t="s">
        <v>110</v>
      </c>
      <c r="E43" s="1511"/>
      <c r="F43" s="1511"/>
      <c r="G43" s="1511"/>
      <c r="H43" s="1511"/>
      <c r="I43" s="1511"/>
      <c r="J43" s="1511"/>
      <c r="K43" s="1511"/>
      <c r="L43" s="1511"/>
      <c r="M43" s="1511"/>
      <c r="N43" s="1511"/>
      <c r="O43" s="1511"/>
      <c r="P43" s="1511"/>
      <c r="Q43" s="1511"/>
      <c r="R43" s="1511"/>
      <c r="S43" s="1511"/>
      <c r="T43" s="1512"/>
    </row>
    <row r="44" spans="2:20" s="35" customFormat="1" ht="14" customHeight="1" x14ac:dyDescent="0.3">
      <c r="B44" s="201" t="s">
        <v>113</v>
      </c>
      <c r="C44" s="152" t="s">
        <v>782</v>
      </c>
      <c r="D44" s="149" t="s">
        <v>110</v>
      </c>
      <c r="E44" s="1511"/>
      <c r="F44" s="1511"/>
      <c r="G44" s="1511"/>
      <c r="H44" s="1511"/>
      <c r="I44" s="1511"/>
      <c r="J44" s="1511"/>
      <c r="K44" s="1511"/>
      <c r="L44" s="1511"/>
      <c r="M44" s="1511"/>
      <c r="N44" s="1511"/>
      <c r="O44" s="1511"/>
      <c r="P44" s="1511"/>
      <c r="Q44" s="1511"/>
      <c r="R44" s="1511"/>
      <c r="S44" s="1511"/>
      <c r="T44" s="1512"/>
    </row>
    <row r="45" spans="2:20" s="35" customFormat="1" ht="14" customHeight="1" x14ac:dyDescent="0.3">
      <c r="B45" s="201" t="s">
        <v>779</v>
      </c>
      <c r="C45" s="152" t="s">
        <v>783</v>
      </c>
      <c r="D45" s="149" t="s">
        <v>110</v>
      </c>
      <c r="E45" s="1511"/>
      <c r="F45" s="1511"/>
      <c r="G45" s="1511"/>
      <c r="H45" s="1511"/>
      <c r="I45" s="1511"/>
      <c r="J45" s="1511"/>
      <c r="K45" s="1511"/>
      <c r="L45" s="1511"/>
      <c r="M45" s="1511"/>
      <c r="N45" s="1511"/>
      <c r="O45" s="1511"/>
      <c r="P45" s="1511"/>
      <c r="Q45" s="1511"/>
      <c r="R45" s="1511"/>
      <c r="S45" s="1511"/>
      <c r="T45" s="1512"/>
    </row>
    <row r="46" spans="2:20" s="35" customFormat="1" ht="14" customHeight="1" x14ac:dyDescent="0.3">
      <c r="B46" s="200">
        <v>2.2000000000000002</v>
      </c>
      <c r="C46" s="147" t="s">
        <v>334</v>
      </c>
      <c r="D46" s="148"/>
      <c r="E46" s="1511"/>
      <c r="F46" s="1511"/>
      <c r="G46" s="1511"/>
      <c r="H46" s="1511"/>
      <c r="I46" s="1511"/>
      <c r="J46" s="1511"/>
      <c r="K46" s="1511"/>
      <c r="L46" s="1511"/>
      <c r="M46" s="1511"/>
      <c r="N46" s="1511"/>
      <c r="O46" s="1511"/>
      <c r="P46" s="1511"/>
      <c r="Q46" s="1511"/>
      <c r="R46" s="1511"/>
      <c r="S46" s="1511"/>
      <c r="T46" s="1512"/>
    </row>
    <row r="47" spans="2:20" s="35" customFormat="1" ht="14" customHeight="1" x14ac:dyDescent="0.3">
      <c r="B47" s="201" t="s">
        <v>116</v>
      </c>
      <c r="C47" s="152" t="s">
        <v>780</v>
      </c>
      <c r="D47" s="149" t="s">
        <v>110</v>
      </c>
      <c r="E47" s="1511"/>
      <c r="F47" s="1511"/>
      <c r="G47" s="1511"/>
      <c r="H47" s="1511"/>
      <c r="I47" s="1511"/>
      <c r="J47" s="1511"/>
      <c r="K47" s="1511"/>
      <c r="L47" s="1511"/>
      <c r="M47" s="1511"/>
      <c r="N47" s="1511"/>
      <c r="O47" s="1511"/>
      <c r="P47" s="1511"/>
      <c r="Q47" s="1511"/>
      <c r="R47" s="1511"/>
      <c r="S47" s="1511"/>
      <c r="T47" s="1512"/>
    </row>
    <row r="48" spans="2:20" s="35" customFormat="1" ht="14" customHeight="1" x14ac:dyDescent="0.3">
      <c r="B48" s="201" t="s">
        <v>118</v>
      </c>
      <c r="C48" s="152" t="s">
        <v>781</v>
      </c>
      <c r="D48" s="149" t="s">
        <v>110</v>
      </c>
      <c r="E48" s="1511"/>
      <c r="F48" s="1511"/>
      <c r="G48" s="1511"/>
      <c r="H48" s="1511"/>
      <c r="I48" s="1511"/>
      <c r="J48" s="1511"/>
      <c r="K48" s="1511"/>
      <c r="L48" s="1511"/>
      <c r="M48" s="1511"/>
      <c r="N48" s="1511"/>
      <c r="O48" s="1511"/>
      <c r="P48" s="1511"/>
      <c r="Q48" s="1511"/>
      <c r="R48" s="1511"/>
      <c r="S48" s="1511"/>
      <c r="T48" s="1512"/>
    </row>
    <row r="49" spans="2:20" s="35" customFormat="1" ht="14" customHeight="1" x14ac:dyDescent="0.3">
      <c r="B49" s="201" t="s">
        <v>119</v>
      </c>
      <c r="C49" s="152" t="s">
        <v>782</v>
      </c>
      <c r="D49" s="149" t="s">
        <v>110</v>
      </c>
      <c r="E49" s="1511"/>
      <c r="F49" s="1511"/>
      <c r="G49" s="1511"/>
      <c r="H49" s="1511"/>
      <c r="I49" s="1511"/>
      <c r="J49" s="1511"/>
      <c r="K49" s="1511"/>
      <c r="L49" s="1511"/>
      <c r="M49" s="1511"/>
      <c r="N49" s="1511"/>
      <c r="O49" s="1511"/>
      <c r="P49" s="1511"/>
      <c r="Q49" s="1511"/>
      <c r="R49" s="1511"/>
      <c r="S49" s="1511"/>
      <c r="T49" s="1512"/>
    </row>
    <row r="50" spans="2:20" s="35" customFormat="1" ht="14" customHeight="1" x14ac:dyDescent="0.3">
      <c r="B50" s="201" t="s">
        <v>784</v>
      </c>
      <c r="C50" s="152" t="s">
        <v>783</v>
      </c>
      <c r="D50" s="149" t="s">
        <v>110</v>
      </c>
      <c r="E50" s="1511"/>
      <c r="F50" s="1511"/>
      <c r="G50" s="1511"/>
      <c r="H50" s="1511"/>
      <c r="I50" s="1511"/>
      <c r="J50" s="1511"/>
      <c r="K50" s="1511"/>
      <c r="L50" s="1511"/>
      <c r="M50" s="1511"/>
      <c r="N50" s="1511"/>
      <c r="O50" s="1511"/>
      <c r="P50" s="1511"/>
      <c r="Q50" s="1511"/>
      <c r="R50" s="1511"/>
      <c r="S50" s="1511"/>
      <c r="T50" s="1512"/>
    </row>
    <row r="51" spans="2:20" s="35" customFormat="1" ht="14" customHeight="1" x14ac:dyDescent="0.3">
      <c r="B51" s="200">
        <v>2.2999999999999998</v>
      </c>
      <c r="C51" s="147" t="s">
        <v>337</v>
      </c>
      <c r="D51" s="148"/>
      <c r="E51" s="1511"/>
      <c r="F51" s="1511"/>
      <c r="G51" s="1511"/>
      <c r="H51" s="1511"/>
      <c r="I51" s="1511"/>
      <c r="J51" s="1511"/>
      <c r="K51" s="1511"/>
      <c r="L51" s="1511"/>
      <c r="M51" s="1511"/>
      <c r="N51" s="1511"/>
      <c r="O51" s="1511"/>
      <c r="P51" s="1511"/>
      <c r="Q51" s="1511"/>
      <c r="R51" s="1511"/>
      <c r="S51" s="1511"/>
      <c r="T51" s="1512"/>
    </row>
    <row r="52" spans="2:20" s="35" customFormat="1" ht="14" customHeight="1" x14ac:dyDescent="0.3">
      <c r="B52" s="201" t="s">
        <v>338</v>
      </c>
      <c r="C52" s="152" t="s">
        <v>780</v>
      </c>
      <c r="D52" s="149" t="s">
        <v>110</v>
      </c>
      <c r="E52" s="1511"/>
      <c r="F52" s="1511"/>
      <c r="G52" s="1511"/>
      <c r="H52" s="1511"/>
      <c r="I52" s="1511"/>
      <c r="J52" s="1511"/>
      <c r="K52" s="1511"/>
      <c r="L52" s="1511"/>
      <c r="M52" s="1511"/>
      <c r="N52" s="1511"/>
      <c r="O52" s="1511"/>
      <c r="P52" s="1511"/>
      <c r="Q52" s="1511"/>
      <c r="R52" s="1511"/>
      <c r="S52" s="1511"/>
      <c r="T52" s="1512"/>
    </row>
    <row r="53" spans="2:20" s="35" customFormat="1" ht="14" customHeight="1" x14ac:dyDescent="0.3">
      <c r="B53" s="201" t="s">
        <v>339</v>
      </c>
      <c r="C53" s="152" t="s">
        <v>781</v>
      </c>
      <c r="D53" s="149" t="s">
        <v>110</v>
      </c>
      <c r="E53" s="1511"/>
      <c r="F53" s="1511"/>
      <c r="G53" s="1511"/>
      <c r="H53" s="1511"/>
      <c r="I53" s="1511"/>
      <c r="J53" s="1511"/>
      <c r="K53" s="1511"/>
      <c r="L53" s="1511"/>
      <c r="M53" s="1511"/>
      <c r="N53" s="1511"/>
      <c r="O53" s="1511"/>
      <c r="P53" s="1511"/>
      <c r="Q53" s="1511"/>
      <c r="R53" s="1511"/>
      <c r="S53" s="1511"/>
      <c r="T53" s="1512"/>
    </row>
    <row r="54" spans="2:20" s="35" customFormat="1" ht="14" customHeight="1" x14ac:dyDescent="0.3">
      <c r="B54" s="201" t="s">
        <v>340</v>
      </c>
      <c r="C54" s="152" t="s">
        <v>782</v>
      </c>
      <c r="D54" s="149" t="s">
        <v>110</v>
      </c>
      <c r="E54" s="1511"/>
      <c r="F54" s="1511"/>
      <c r="G54" s="1511"/>
      <c r="H54" s="1511"/>
      <c r="I54" s="1511"/>
      <c r="J54" s="1511"/>
      <c r="K54" s="1511"/>
      <c r="L54" s="1511"/>
      <c r="M54" s="1511"/>
      <c r="N54" s="1511"/>
      <c r="O54" s="1511"/>
      <c r="P54" s="1511"/>
      <c r="Q54" s="1511"/>
      <c r="R54" s="1511"/>
      <c r="S54" s="1511"/>
      <c r="T54" s="1512"/>
    </row>
    <row r="55" spans="2:20" s="35" customFormat="1" ht="14" customHeight="1" x14ac:dyDescent="0.3">
      <c r="B55" s="201" t="s">
        <v>785</v>
      </c>
      <c r="C55" s="152" t="s">
        <v>783</v>
      </c>
      <c r="D55" s="149" t="s">
        <v>110</v>
      </c>
      <c r="E55" s="1511"/>
      <c r="F55" s="1511"/>
      <c r="G55" s="1511"/>
      <c r="H55" s="1511"/>
      <c r="I55" s="1511"/>
      <c r="J55" s="1511"/>
      <c r="K55" s="1511"/>
      <c r="L55" s="1511"/>
      <c r="M55" s="1511"/>
      <c r="N55" s="1511"/>
      <c r="O55" s="1511"/>
      <c r="P55" s="1511"/>
      <c r="Q55" s="1511"/>
      <c r="R55" s="1511"/>
      <c r="S55" s="1511"/>
      <c r="T55" s="1512"/>
    </row>
    <row r="56" spans="2:20" s="35" customFormat="1" ht="14" customHeight="1" x14ac:dyDescent="0.3">
      <c r="B56" s="200">
        <v>2.4</v>
      </c>
      <c r="C56" s="197" t="s">
        <v>456</v>
      </c>
      <c r="D56" s="148"/>
      <c r="E56" s="1511"/>
      <c r="F56" s="1511"/>
      <c r="G56" s="1511"/>
      <c r="H56" s="1511"/>
      <c r="I56" s="1511"/>
      <c r="J56" s="1511"/>
      <c r="K56" s="1511"/>
      <c r="L56" s="1511"/>
      <c r="M56" s="1511"/>
      <c r="N56" s="1511"/>
      <c r="O56" s="1511"/>
      <c r="P56" s="1511"/>
      <c r="Q56" s="1511"/>
      <c r="R56" s="1511"/>
      <c r="S56" s="1511"/>
      <c r="T56" s="1512"/>
    </row>
    <row r="57" spans="2:20" s="35" customFormat="1" ht="14" customHeight="1" x14ac:dyDescent="0.3">
      <c r="B57" s="201" t="s">
        <v>358</v>
      </c>
      <c r="C57" s="152" t="s">
        <v>780</v>
      </c>
      <c r="D57" s="149" t="s">
        <v>110</v>
      </c>
      <c r="E57" s="1511"/>
      <c r="F57" s="1511"/>
      <c r="G57" s="1511"/>
      <c r="H57" s="1511"/>
      <c r="I57" s="1511"/>
      <c r="J57" s="1511"/>
      <c r="K57" s="1511"/>
      <c r="L57" s="1511"/>
      <c r="M57" s="1511"/>
      <c r="N57" s="1511"/>
      <c r="O57" s="1511"/>
      <c r="P57" s="1511"/>
      <c r="Q57" s="1511"/>
      <c r="R57" s="1511"/>
      <c r="S57" s="1511"/>
      <c r="T57" s="1512"/>
    </row>
    <row r="58" spans="2:20" s="35" customFormat="1" ht="14" customHeight="1" x14ac:dyDescent="0.3">
      <c r="B58" s="201" t="s">
        <v>359</v>
      </c>
      <c r="C58" s="152" t="s">
        <v>781</v>
      </c>
      <c r="D58" s="149" t="s">
        <v>110</v>
      </c>
      <c r="E58" s="1511"/>
      <c r="F58" s="1511"/>
      <c r="G58" s="1511"/>
      <c r="H58" s="1511"/>
      <c r="I58" s="1511"/>
      <c r="J58" s="1511"/>
      <c r="K58" s="1511"/>
      <c r="L58" s="1511"/>
      <c r="M58" s="1511"/>
      <c r="N58" s="1511"/>
      <c r="O58" s="1511"/>
      <c r="P58" s="1511"/>
      <c r="Q58" s="1511"/>
      <c r="R58" s="1511"/>
      <c r="S58" s="1511"/>
      <c r="T58" s="1512"/>
    </row>
    <row r="59" spans="2:20" s="35" customFormat="1" ht="14" customHeight="1" x14ac:dyDescent="0.3">
      <c r="B59" s="201" t="s">
        <v>360</v>
      </c>
      <c r="C59" s="152" t="s">
        <v>782</v>
      </c>
      <c r="D59" s="149" t="s">
        <v>110</v>
      </c>
      <c r="E59" s="1511"/>
      <c r="F59" s="1511"/>
      <c r="G59" s="1511"/>
      <c r="H59" s="1511"/>
      <c r="I59" s="1511"/>
      <c r="J59" s="1511"/>
      <c r="K59" s="1511"/>
      <c r="L59" s="1511"/>
      <c r="M59" s="1511"/>
      <c r="N59" s="1511"/>
      <c r="O59" s="1511"/>
      <c r="P59" s="1511"/>
      <c r="Q59" s="1511"/>
      <c r="R59" s="1511"/>
      <c r="S59" s="1511"/>
      <c r="T59" s="1512"/>
    </row>
    <row r="60" spans="2:20" s="35" customFormat="1" ht="14" customHeight="1" x14ac:dyDescent="0.3">
      <c r="B60" s="201" t="s">
        <v>786</v>
      </c>
      <c r="C60" s="152" t="s">
        <v>783</v>
      </c>
      <c r="D60" s="149" t="s">
        <v>110</v>
      </c>
      <c r="E60" s="1511"/>
      <c r="F60" s="1511"/>
      <c r="G60" s="1511"/>
      <c r="H60" s="1511"/>
      <c r="I60" s="1511"/>
      <c r="J60" s="1511"/>
      <c r="K60" s="1511"/>
      <c r="L60" s="1511"/>
      <c r="M60" s="1511"/>
      <c r="N60" s="1511"/>
      <c r="O60" s="1511"/>
      <c r="P60" s="1511"/>
      <c r="Q60" s="1511"/>
      <c r="R60" s="1511"/>
      <c r="S60" s="1511"/>
      <c r="T60" s="1512"/>
    </row>
    <row r="61" spans="2:20" s="35" customFormat="1" ht="14" customHeight="1" x14ac:dyDescent="0.3">
      <c r="B61" s="200">
        <v>2.5</v>
      </c>
      <c r="C61" s="147" t="s">
        <v>115</v>
      </c>
      <c r="D61" s="148"/>
      <c r="E61" s="1511"/>
      <c r="F61" s="1511"/>
      <c r="G61" s="1511"/>
      <c r="H61" s="1511"/>
      <c r="I61" s="1511"/>
      <c r="J61" s="1511"/>
      <c r="K61" s="1511"/>
      <c r="L61" s="1511"/>
      <c r="M61" s="1511"/>
      <c r="N61" s="1511"/>
      <c r="O61" s="1511"/>
      <c r="P61" s="1511"/>
      <c r="Q61" s="1511"/>
      <c r="R61" s="1511"/>
      <c r="S61" s="1511"/>
      <c r="T61" s="1512"/>
    </row>
    <row r="62" spans="2:20" s="35" customFormat="1" ht="14" customHeight="1" x14ac:dyDescent="0.3">
      <c r="B62" s="201" t="s">
        <v>417</v>
      </c>
      <c r="C62" s="152" t="s">
        <v>780</v>
      </c>
      <c r="D62" s="149" t="s">
        <v>117</v>
      </c>
      <c r="E62" s="1511"/>
      <c r="F62" s="1511"/>
      <c r="G62" s="1511"/>
      <c r="H62" s="1511"/>
      <c r="I62" s="1511"/>
      <c r="J62" s="1511"/>
      <c r="K62" s="1511"/>
      <c r="L62" s="1511"/>
      <c r="M62" s="1511"/>
      <c r="N62" s="1511"/>
      <c r="O62" s="1511"/>
      <c r="P62" s="1511"/>
      <c r="Q62" s="1511"/>
      <c r="R62" s="1511"/>
      <c r="S62" s="1511"/>
      <c r="T62" s="1512"/>
    </row>
    <row r="63" spans="2:20" s="35" customFormat="1" ht="14" customHeight="1" x14ac:dyDescent="0.3">
      <c r="B63" s="201" t="s">
        <v>420</v>
      </c>
      <c r="C63" s="152" t="s">
        <v>781</v>
      </c>
      <c r="D63" s="149" t="s">
        <v>117</v>
      </c>
      <c r="E63" s="1511"/>
      <c r="F63" s="1511"/>
      <c r="G63" s="1511"/>
      <c r="H63" s="1511"/>
      <c r="I63" s="1511"/>
      <c r="J63" s="1511"/>
      <c r="K63" s="1511"/>
      <c r="L63" s="1511"/>
      <c r="M63" s="1511"/>
      <c r="N63" s="1511"/>
      <c r="O63" s="1511"/>
      <c r="P63" s="1511"/>
      <c r="Q63" s="1511"/>
      <c r="R63" s="1511"/>
      <c r="S63" s="1511"/>
      <c r="T63" s="1512"/>
    </row>
    <row r="64" spans="2:20" s="35" customFormat="1" ht="14" customHeight="1" x14ac:dyDescent="0.3">
      <c r="B64" s="201" t="s">
        <v>421</v>
      </c>
      <c r="C64" s="152" t="s">
        <v>782</v>
      </c>
      <c r="D64" s="149" t="s">
        <v>117</v>
      </c>
      <c r="E64" s="1511"/>
      <c r="F64" s="1511"/>
      <c r="G64" s="1511"/>
      <c r="H64" s="1511"/>
      <c r="I64" s="1511"/>
      <c r="J64" s="1511"/>
      <c r="K64" s="1511"/>
      <c r="L64" s="1511"/>
      <c r="M64" s="1511"/>
      <c r="N64" s="1511"/>
      <c r="O64" s="1511"/>
      <c r="P64" s="1511"/>
      <c r="Q64" s="1511"/>
      <c r="R64" s="1511"/>
      <c r="S64" s="1511"/>
      <c r="T64" s="1512"/>
    </row>
    <row r="65" spans="2:20" s="35" customFormat="1" ht="14" customHeight="1" x14ac:dyDescent="0.3">
      <c r="B65" s="201" t="s">
        <v>787</v>
      </c>
      <c r="C65" s="152" t="s">
        <v>783</v>
      </c>
      <c r="D65" s="149" t="s">
        <v>117</v>
      </c>
      <c r="E65" s="1511"/>
      <c r="F65" s="1511"/>
      <c r="G65" s="1511"/>
      <c r="H65" s="1511"/>
      <c r="I65" s="1511"/>
      <c r="J65" s="1511"/>
      <c r="K65" s="1511"/>
      <c r="L65" s="1511"/>
      <c r="M65" s="1511"/>
      <c r="N65" s="1511"/>
      <c r="O65" s="1511"/>
      <c r="P65" s="1511"/>
      <c r="Q65" s="1511"/>
      <c r="R65" s="1511"/>
      <c r="S65" s="1511"/>
      <c r="T65" s="1512"/>
    </row>
    <row r="66" spans="2:20" s="35" customFormat="1" ht="14" customHeight="1" x14ac:dyDescent="0.3">
      <c r="B66" s="200">
        <v>3</v>
      </c>
      <c r="C66" s="197" t="s">
        <v>120</v>
      </c>
      <c r="D66" s="148"/>
      <c r="E66" s="1511"/>
      <c r="F66" s="1511"/>
      <c r="G66" s="1511"/>
      <c r="H66" s="1511"/>
      <c r="I66" s="1511"/>
      <c r="J66" s="1511"/>
      <c r="K66" s="1511"/>
      <c r="L66" s="1511"/>
      <c r="M66" s="1511"/>
      <c r="N66" s="1511"/>
      <c r="O66" s="1511"/>
      <c r="P66" s="1511"/>
      <c r="Q66" s="1511"/>
      <c r="R66" s="1511"/>
      <c r="S66" s="1511"/>
      <c r="T66" s="1512"/>
    </row>
    <row r="67" spans="2:20" s="35" customFormat="1" ht="14" customHeight="1" x14ac:dyDescent="0.3">
      <c r="B67" s="200">
        <v>3.1</v>
      </c>
      <c r="C67" s="147" t="s">
        <v>121</v>
      </c>
      <c r="D67" s="148"/>
      <c r="E67" s="1511"/>
      <c r="F67" s="1511"/>
      <c r="G67" s="1511"/>
      <c r="H67" s="1511"/>
      <c r="I67" s="1511"/>
      <c r="J67" s="1511"/>
      <c r="K67" s="1511"/>
      <c r="L67" s="1511"/>
      <c r="M67" s="1511"/>
      <c r="N67" s="1511"/>
      <c r="O67" s="1511"/>
      <c r="P67" s="1511"/>
      <c r="Q67" s="1511"/>
      <c r="R67" s="1511"/>
      <c r="S67" s="1511"/>
      <c r="T67" s="1512"/>
    </row>
    <row r="68" spans="2:20" s="35" customFormat="1" ht="14" customHeight="1" x14ac:dyDescent="0.3">
      <c r="B68" s="201" t="s">
        <v>122</v>
      </c>
      <c r="C68" s="152" t="s">
        <v>780</v>
      </c>
      <c r="D68" s="149" t="s">
        <v>123</v>
      </c>
      <c r="E68" s="1511"/>
      <c r="F68" s="1511"/>
      <c r="G68" s="1511"/>
      <c r="H68" s="1511"/>
      <c r="I68" s="1511"/>
      <c r="J68" s="1511"/>
      <c r="K68" s="1511"/>
      <c r="L68" s="1511"/>
      <c r="M68" s="1511"/>
      <c r="N68" s="1511"/>
      <c r="O68" s="1511"/>
      <c r="P68" s="1511"/>
      <c r="Q68" s="1511"/>
      <c r="R68" s="1511"/>
      <c r="S68" s="1511"/>
      <c r="T68" s="1512"/>
    </row>
    <row r="69" spans="2:20" s="35" customFormat="1" ht="14" customHeight="1" x14ac:dyDescent="0.3">
      <c r="B69" s="201" t="s">
        <v>124</v>
      </c>
      <c r="C69" s="152" t="s">
        <v>781</v>
      </c>
      <c r="D69" s="149" t="s">
        <v>123</v>
      </c>
      <c r="E69" s="1511"/>
      <c r="F69" s="1511"/>
      <c r="G69" s="1511"/>
      <c r="H69" s="1511"/>
      <c r="I69" s="1511"/>
      <c r="J69" s="1511"/>
      <c r="K69" s="1511"/>
      <c r="L69" s="1511"/>
      <c r="M69" s="1511"/>
      <c r="N69" s="1511"/>
      <c r="O69" s="1511"/>
      <c r="P69" s="1511"/>
      <c r="Q69" s="1511"/>
      <c r="R69" s="1511"/>
      <c r="S69" s="1511"/>
      <c r="T69" s="1512"/>
    </row>
    <row r="70" spans="2:20" s="35" customFormat="1" ht="14" customHeight="1" x14ac:dyDescent="0.3">
      <c r="B70" s="201" t="s">
        <v>125</v>
      </c>
      <c r="C70" s="152" t="s">
        <v>782</v>
      </c>
      <c r="D70" s="149" t="s">
        <v>123</v>
      </c>
      <c r="E70" s="1511"/>
      <c r="F70" s="1511"/>
      <c r="G70" s="1511"/>
      <c r="H70" s="1511"/>
      <c r="I70" s="1511"/>
      <c r="J70" s="1511"/>
      <c r="K70" s="1511"/>
      <c r="L70" s="1511"/>
      <c r="M70" s="1511"/>
      <c r="N70" s="1511"/>
      <c r="O70" s="1511"/>
      <c r="P70" s="1511"/>
      <c r="Q70" s="1511"/>
      <c r="R70" s="1511"/>
      <c r="S70" s="1511"/>
      <c r="T70" s="1512"/>
    </row>
    <row r="71" spans="2:20" s="35" customFormat="1" ht="14" customHeight="1" x14ac:dyDescent="0.3">
      <c r="B71" s="201" t="s">
        <v>788</v>
      </c>
      <c r="C71" s="152" t="s">
        <v>783</v>
      </c>
      <c r="D71" s="149"/>
      <c r="E71" s="1511"/>
      <c r="F71" s="1511"/>
      <c r="G71" s="1511"/>
      <c r="H71" s="1511"/>
      <c r="I71" s="1511"/>
      <c r="J71" s="1511"/>
      <c r="K71" s="1511"/>
      <c r="L71" s="1511"/>
      <c r="M71" s="1511"/>
      <c r="N71" s="1511"/>
      <c r="O71" s="1511"/>
      <c r="P71" s="1511"/>
      <c r="Q71" s="1511"/>
      <c r="R71" s="1511"/>
      <c r="S71" s="1511"/>
      <c r="T71" s="1512"/>
    </row>
    <row r="72" spans="2:20" s="35" customFormat="1" ht="14" customHeight="1" x14ac:dyDescent="0.3">
      <c r="B72" s="200">
        <v>3.2</v>
      </c>
      <c r="C72" s="147" t="s">
        <v>126</v>
      </c>
      <c r="D72" s="148"/>
      <c r="E72" s="1511"/>
      <c r="F72" s="1511"/>
      <c r="G72" s="1511"/>
      <c r="H72" s="1511"/>
      <c r="I72" s="1511"/>
      <c r="J72" s="1511"/>
      <c r="K72" s="1511"/>
      <c r="L72" s="1511"/>
      <c r="M72" s="1511"/>
      <c r="N72" s="1511"/>
      <c r="O72" s="1511"/>
      <c r="P72" s="1511"/>
      <c r="Q72" s="1511"/>
      <c r="R72" s="1511"/>
      <c r="S72" s="1511"/>
      <c r="T72" s="1512"/>
    </row>
    <row r="73" spans="2:20" s="35" customFormat="1" ht="14" customHeight="1" x14ac:dyDescent="0.3">
      <c r="B73" s="201" t="s">
        <v>127</v>
      </c>
      <c r="C73" s="152" t="s">
        <v>780</v>
      </c>
      <c r="D73" s="149" t="s">
        <v>457</v>
      </c>
      <c r="E73" s="1511"/>
      <c r="F73" s="1511"/>
      <c r="G73" s="1511"/>
      <c r="H73" s="1511"/>
      <c r="I73" s="1511"/>
      <c r="J73" s="1511"/>
      <c r="K73" s="1511"/>
      <c r="L73" s="1511"/>
      <c r="M73" s="1511"/>
      <c r="N73" s="1511"/>
      <c r="O73" s="1511"/>
      <c r="P73" s="1511"/>
      <c r="Q73" s="1511"/>
      <c r="R73" s="1511"/>
      <c r="S73" s="1511"/>
      <c r="T73" s="1512"/>
    </row>
    <row r="74" spans="2:20" s="35" customFormat="1" ht="14" customHeight="1" x14ac:dyDescent="0.3">
      <c r="B74" s="201" t="s">
        <v>128</v>
      </c>
      <c r="C74" s="152" t="s">
        <v>781</v>
      </c>
      <c r="D74" s="149" t="s">
        <v>457</v>
      </c>
      <c r="E74" s="1511"/>
      <c r="F74" s="1511"/>
      <c r="G74" s="1511"/>
      <c r="H74" s="1511"/>
      <c r="I74" s="1511"/>
      <c r="J74" s="1511"/>
      <c r="K74" s="1511"/>
      <c r="L74" s="1511"/>
      <c r="M74" s="1511"/>
      <c r="N74" s="1511"/>
      <c r="O74" s="1511"/>
      <c r="P74" s="1511"/>
      <c r="Q74" s="1511"/>
      <c r="R74" s="1511"/>
      <c r="S74" s="1511"/>
      <c r="T74" s="1512"/>
    </row>
    <row r="75" spans="2:20" s="35" customFormat="1" ht="14" customHeight="1" x14ac:dyDescent="0.3">
      <c r="B75" s="201" t="s">
        <v>129</v>
      </c>
      <c r="C75" s="152" t="s">
        <v>782</v>
      </c>
      <c r="D75" s="149" t="s">
        <v>457</v>
      </c>
      <c r="E75" s="1511"/>
      <c r="F75" s="1511"/>
      <c r="G75" s="1511"/>
      <c r="H75" s="1511"/>
      <c r="I75" s="1511"/>
      <c r="J75" s="1511"/>
      <c r="K75" s="1511"/>
      <c r="L75" s="1511"/>
      <c r="M75" s="1511"/>
      <c r="N75" s="1511"/>
      <c r="O75" s="1511"/>
      <c r="P75" s="1511"/>
      <c r="Q75" s="1511"/>
      <c r="R75" s="1511"/>
      <c r="S75" s="1511"/>
      <c r="T75" s="1512"/>
    </row>
    <row r="76" spans="2:20" s="35" customFormat="1" ht="14" customHeight="1" x14ac:dyDescent="0.3">
      <c r="B76" s="201" t="s">
        <v>789</v>
      </c>
      <c r="C76" s="152" t="s">
        <v>783</v>
      </c>
      <c r="D76" s="148"/>
      <c r="E76" s="1511"/>
      <c r="F76" s="1511"/>
      <c r="G76" s="1511"/>
      <c r="H76" s="1511"/>
      <c r="I76" s="1511"/>
      <c r="J76" s="1511"/>
      <c r="K76" s="1511"/>
      <c r="L76" s="1511"/>
      <c r="M76" s="1511"/>
      <c r="N76" s="1511"/>
      <c r="O76" s="1511"/>
      <c r="P76" s="1511"/>
      <c r="Q76" s="1511"/>
      <c r="R76" s="1511"/>
      <c r="S76" s="1511"/>
      <c r="T76" s="1512"/>
    </row>
    <row r="77" spans="2:20" s="35" customFormat="1" ht="14" customHeight="1" x14ac:dyDescent="0.3">
      <c r="B77" s="200">
        <v>3.3</v>
      </c>
      <c r="C77" s="147" t="s">
        <v>130</v>
      </c>
      <c r="D77" s="148"/>
      <c r="E77" s="1511"/>
      <c r="F77" s="1511"/>
      <c r="G77" s="1511"/>
      <c r="H77" s="1511"/>
      <c r="I77" s="1511"/>
      <c r="J77" s="1511"/>
      <c r="K77" s="1511"/>
      <c r="L77" s="1511"/>
      <c r="M77" s="1511"/>
      <c r="N77" s="1511"/>
      <c r="O77" s="1511"/>
      <c r="P77" s="1511"/>
      <c r="Q77" s="1511"/>
      <c r="R77" s="1511"/>
      <c r="S77" s="1511"/>
      <c r="T77" s="1512"/>
    </row>
    <row r="78" spans="2:20" s="35" customFormat="1" ht="14" customHeight="1" x14ac:dyDescent="0.3">
      <c r="B78" s="201" t="s">
        <v>131</v>
      </c>
      <c r="C78" s="152" t="s">
        <v>780</v>
      </c>
      <c r="D78" s="149" t="s">
        <v>132</v>
      </c>
      <c r="E78" s="1511"/>
      <c r="F78" s="1511"/>
      <c r="G78" s="1511"/>
      <c r="H78" s="1511"/>
      <c r="I78" s="1511"/>
      <c r="J78" s="1511"/>
      <c r="K78" s="1511"/>
      <c r="L78" s="1511"/>
      <c r="M78" s="1511"/>
      <c r="N78" s="1511"/>
      <c r="O78" s="1511"/>
      <c r="P78" s="1511"/>
      <c r="Q78" s="1511"/>
      <c r="R78" s="1511"/>
      <c r="S78" s="1511"/>
      <c r="T78" s="1512"/>
    </row>
    <row r="79" spans="2:20" s="35" customFormat="1" ht="14" customHeight="1" x14ac:dyDescent="0.3">
      <c r="B79" s="201" t="s">
        <v>133</v>
      </c>
      <c r="C79" s="152" t="s">
        <v>781</v>
      </c>
      <c r="D79" s="149" t="s">
        <v>132</v>
      </c>
      <c r="E79" s="1511"/>
      <c r="F79" s="1511"/>
      <c r="G79" s="1511"/>
      <c r="H79" s="1511"/>
      <c r="I79" s="1511"/>
      <c r="J79" s="1511"/>
      <c r="K79" s="1511"/>
      <c r="L79" s="1511"/>
      <c r="M79" s="1511"/>
      <c r="N79" s="1511"/>
      <c r="O79" s="1511"/>
      <c r="P79" s="1511"/>
      <c r="Q79" s="1511"/>
      <c r="R79" s="1511"/>
      <c r="S79" s="1511"/>
      <c r="T79" s="1512"/>
    </row>
    <row r="80" spans="2:20" s="35" customFormat="1" ht="14" customHeight="1" x14ac:dyDescent="0.3">
      <c r="B80" s="201" t="s">
        <v>134</v>
      </c>
      <c r="C80" s="152" t="s">
        <v>782</v>
      </c>
      <c r="D80" s="149" t="s">
        <v>132</v>
      </c>
      <c r="E80" s="1511"/>
      <c r="F80" s="1511"/>
      <c r="G80" s="1511"/>
      <c r="H80" s="1511"/>
      <c r="I80" s="1511"/>
      <c r="J80" s="1511"/>
      <c r="K80" s="1511"/>
      <c r="L80" s="1511"/>
      <c r="M80" s="1511"/>
      <c r="N80" s="1511"/>
      <c r="O80" s="1511"/>
      <c r="P80" s="1511"/>
      <c r="Q80" s="1511"/>
      <c r="R80" s="1511"/>
      <c r="S80" s="1511"/>
      <c r="T80" s="1512"/>
    </row>
    <row r="81" spans="2:20" s="35" customFormat="1" ht="14" customHeight="1" x14ac:dyDescent="0.3">
      <c r="B81" s="201" t="s">
        <v>790</v>
      </c>
      <c r="C81" s="152" t="s">
        <v>783</v>
      </c>
      <c r="D81" s="149" t="s">
        <v>132</v>
      </c>
      <c r="E81" s="1511"/>
      <c r="F81" s="1511"/>
      <c r="G81" s="1511"/>
      <c r="H81" s="1511"/>
      <c r="I81" s="1511"/>
      <c r="J81" s="1511"/>
      <c r="K81" s="1511"/>
      <c r="L81" s="1511"/>
      <c r="M81" s="1511"/>
      <c r="N81" s="1511"/>
      <c r="O81" s="1511"/>
      <c r="P81" s="1511"/>
      <c r="Q81" s="1511"/>
      <c r="R81" s="1511"/>
      <c r="S81" s="1511"/>
      <c r="T81" s="1512"/>
    </row>
    <row r="82" spans="2:20" s="35" customFormat="1" ht="14" customHeight="1" x14ac:dyDescent="0.3">
      <c r="B82" s="200"/>
      <c r="C82" s="147" t="s">
        <v>382</v>
      </c>
      <c r="D82" s="149" t="s">
        <v>132</v>
      </c>
      <c r="E82" s="1511"/>
      <c r="F82" s="1511"/>
      <c r="G82" s="1511"/>
      <c r="H82" s="1511"/>
      <c r="I82" s="1511"/>
      <c r="J82" s="1511"/>
      <c r="K82" s="1511"/>
      <c r="L82" s="1511"/>
      <c r="M82" s="1511"/>
      <c r="N82" s="1511"/>
      <c r="O82" s="1511"/>
      <c r="P82" s="1511"/>
      <c r="Q82" s="1511"/>
      <c r="R82" s="1511"/>
      <c r="S82" s="1511"/>
      <c r="T82" s="1512"/>
    </row>
    <row r="83" spans="2:20" s="35" customFormat="1" ht="14" customHeight="1" x14ac:dyDescent="0.3">
      <c r="B83" s="200"/>
      <c r="C83" s="147"/>
      <c r="D83" s="148"/>
      <c r="E83" s="1511"/>
      <c r="F83" s="1511"/>
      <c r="G83" s="1511"/>
      <c r="H83" s="1511"/>
      <c r="I83" s="1511"/>
      <c r="J83" s="1511"/>
      <c r="K83" s="1511"/>
      <c r="L83" s="1511"/>
      <c r="M83" s="1511"/>
      <c r="N83" s="1511"/>
      <c r="O83" s="1511"/>
      <c r="P83" s="1511"/>
      <c r="Q83" s="1511"/>
      <c r="R83" s="1511"/>
      <c r="S83" s="1511"/>
      <c r="T83" s="1512"/>
    </row>
    <row r="84" spans="2:20" s="35" customFormat="1" ht="14" customHeight="1" x14ac:dyDescent="0.3">
      <c r="B84" s="200">
        <v>4</v>
      </c>
      <c r="C84" s="147" t="s">
        <v>135</v>
      </c>
      <c r="D84" s="148"/>
      <c r="E84" s="1511"/>
      <c r="F84" s="1511"/>
      <c r="G84" s="1511"/>
      <c r="H84" s="1511"/>
      <c r="I84" s="1511"/>
      <c r="J84" s="1511"/>
      <c r="K84" s="1511"/>
      <c r="L84" s="1511"/>
      <c r="M84" s="1511"/>
      <c r="N84" s="1511"/>
      <c r="O84" s="1511"/>
      <c r="P84" s="1511"/>
      <c r="Q84" s="1511"/>
      <c r="R84" s="1511"/>
      <c r="S84" s="1511"/>
      <c r="T84" s="1512"/>
    </row>
    <row r="85" spans="2:20" s="35" customFormat="1" ht="14" customHeight="1" x14ac:dyDescent="0.3">
      <c r="B85" s="201">
        <v>4.0999999999999996</v>
      </c>
      <c r="C85" s="152" t="s">
        <v>780</v>
      </c>
      <c r="D85" s="149" t="s">
        <v>136</v>
      </c>
      <c r="E85" s="1511"/>
      <c r="F85" s="1511"/>
      <c r="G85" s="1511"/>
      <c r="H85" s="1511"/>
      <c r="I85" s="1511"/>
      <c r="J85" s="1511"/>
      <c r="K85" s="1511"/>
      <c r="L85" s="1511"/>
      <c r="M85" s="1511"/>
      <c r="N85" s="1511"/>
      <c r="O85" s="1511"/>
      <c r="P85" s="1511"/>
      <c r="Q85" s="1511"/>
      <c r="R85" s="1511"/>
      <c r="S85" s="1511"/>
      <c r="T85" s="1512"/>
    </row>
    <row r="86" spans="2:20" s="35" customFormat="1" ht="14" customHeight="1" x14ac:dyDescent="0.3">
      <c r="B86" s="201">
        <v>4.2</v>
      </c>
      <c r="C86" s="152" t="s">
        <v>781</v>
      </c>
      <c r="D86" s="149" t="s">
        <v>136</v>
      </c>
      <c r="E86" s="1511"/>
      <c r="F86" s="1511"/>
      <c r="G86" s="1511"/>
      <c r="H86" s="1511"/>
      <c r="I86" s="1511"/>
      <c r="J86" s="1511"/>
      <c r="K86" s="1511"/>
      <c r="L86" s="1511"/>
      <c r="M86" s="1511"/>
      <c r="N86" s="1511"/>
      <c r="O86" s="1511"/>
      <c r="P86" s="1511"/>
      <c r="Q86" s="1511"/>
      <c r="R86" s="1511"/>
      <c r="S86" s="1511"/>
      <c r="T86" s="1512"/>
    </row>
    <row r="87" spans="2:20" s="35" customFormat="1" ht="14" customHeight="1" x14ac:dyDescent="0.3">
      <c r="B87" s="201">
        <v>4.3</v>
      </c>
      <c r="C87" s="152" t="s">
        <v>782</v>
      </c>
      <c r="D87" s="149" t="s">
        <v>136</v>
      </c>
      <c r="E87" s="1511"/>
      <c r="F87" s="1511"/>
      <c r="G87" s="1511"/>
      <c r="H87" s="1511"/>
      <c r="I87" s="1511"/>
      <c r="J87" s="1511"/>
      <c r="K87" s="1511"/>
      <c r="L87" s="1511"/>
      <c r="M87" s="1511"/>
      <c r="N87" s="1511"/>
      <c r="O87" s="1511"/>
      <c r="P87" s="1511"/>
      <c r="Q87" s="1511"/>
      <c r="R87" s="1511"/>
      <c r="S87" s="1511"/>
      <c r="T87" s="1512"/>
    </row>
    <row r="88" spans="2:20" s="35" customFormat="1" ht="14" customHeight="1" x14ac:dyDescent="0.3">
      <c r="B88" s="201">
        <v>4.4000000000000004</v>
      </c>
      <c r="C88" s="152" t="s">
        <v>783</v>
      </c>
      <c r="D88" s="149" t="s">
        <v>136</v>
      </c>
      <c r="E88" s="1511"/>
      <c r="F88" s="1511"/>
      <c r="G88" s="1511"/>
      <c r="H88" s="1511"/>
      <c r="I88" s="1511"/>
      <c r="J88" s="1511"/>
      <c r="K88" s="1511"/>
      <c r="L88" s="1511"/>
      <c r="M88" s="1511"/>
      <c r="N88" s="1511"/>
      <c r="O88" s="1511"/>
      <c r="P88" s="1511"/>
      <c r="Q88" s="1511"/>
      <c r="R88" s="1511"/>
      <c r="S88" s="1511"/>
      <c r="T88" s="1512"/>
    </row>
    <row r="89" spans="2:20" s="35" customFormat="1" ht="14" customHeight="1" x14ac:dyDescent="0.3">
      <c r="B89" s="200"/>
      <c r="C89" s="147" t="s">
        <v>135</v>
      </c>
      <c r="D89" s="149" t="s">
        <v>136</v>
      </c>
      <c r="E89" s="1511"/>
      <c r="F89" s="1511"/>
      <c r="G89" s="1511"/>
      <c r="H89" s="1511"/>
      <c r="I89" s="1511"/>
      <c r="J89" s="1511"/>
      <c r="K89" s="1511"/>
      <c r="L89" s="1511"/>
      <c r="M89" s="1511"/>
      <c r="N89" s="1511"/>
      <c r="O89" s="1511"/>
      <c r="P89" s="1511"/>
      <c r="Q89" s="1511"/>
      <c r="R89" s="1511"/>
      <c r="S89" s="1511"/>
      <c r="T89" s="1512"/>
    </row>
    <row r="90" spans="2:20" s="35" customFormat="1" ht="14" customHeight="1" x14ac:dyDescent="0.3">
      <c r="B90" s="200"/>
      <c r="C90" s="147"/>
      <c r="D90" s="148"/>
      <c r="E90" s="1511"/>
      <c r="F90" s="1511"/>
      <c r="G90" s="1511"/>
      <c r="H90" s="1511"/>
      <c r="I90" s="1511"/>
      <c r="J90" s="1511"/>
      <c r="K90" s="1511"/>
      <c r="L90" s="1511"/>
      <c r="M90" s="1511"/>
      <c r="N90" s="1511"/>
      <c r="O90" s="1511"/>
      <c r="P90" s="1511"/>
      <c r="Q90" s="1511"/>
      <c r="R90" s="1511"/>
      <c r="S90" s="1511"/>
      <c r="T90" s="1512"/>
    </row>
    <row r="91" spans="2:20" s="35" customFormat="1" ht="14" customHeight="1" x14ac:dyDescent="0.3">
      <c r="B91" s="200">
        <v>5</v>
      </c>
      <c r="C91" s="147" t="s">
        <v>719</v>
      </c>
      <c r="D91" s="148"/>
      <c r="E91" s="1511"/>
      <c r="F91" s="1511"/>
      <c r="G91" s="1511"/>
      <c r="H91" s="1511"/>
      <c r="I91" s="1511"/>
      <c r="J91" s="1511"/>
      <c r="K91" s="1511"/>
      <c r="L91" s="1511"/>
      <c r="M91" s="1511"/>
      <c r="N91" s="1511"/>
      <c r="O91" s="1511"/>
      <c r="P91" s="1511"/>
      <c r="Q91" s="1511"/>
      <c r="R91" s="1511"/>
      <c r="S91" s="1511"/>
      <c r="T91" s="1512"/>
    </row>
    <row r="92" spans="2:20" s="35" customFormat="1" ht="14" customHeight="1" x14ac:dyDescent="0.3">
      <c r="B92" s="201">
        <v>5.0999999999999996</v>
      </c>
      <c r="C92" s="152" t="s">
        <v>780</v>
      </c>
      <c r="D92" s="149" t="s">
        <v>136</v>
      </c>
      <c r="E92" s="1511"/>
      <c r="F92" s="1511"/>
      <c r="G92" s="1511"/>
      <c r="H92" s="1511"/>
      <c r="I92" s="1511"/>
      <c r="J92" s="1511"/>
      <c r="K92" s="1511"/>
      <c r="L92" s="1511"/>
      <c r="M92" s="1511"/>
      <c r="N92" s="1511"/>
      <c r="O92" s="1511"/>
      <c r="P92" s="1511"/>
      <c r="Q92" s="1511"/>
      <c r="R92" s="1511"/>
      <c r="S92" s="1511"/>
      <c r="T92" s="1512"/>
    </row>
    <row r="93" spans="2:20" s="35" customFormat="1" ht="14" customHeight="1" x14ac:dyDescent="0.3">
      <c r="B93" s="201">
        <v>5.2</v>
      </c>
      <c r="C93" s="152" t="s">
        <v>112</v>
      </c>
      <c r="D93" s="149" t="s">
        <v>136</v>
      </c>
      <c r="E93" s="1511"/>
      <c r="F93" s="1511"/>
      <c r="G93" s="1511"/>
      <c r="H93" s="1511"/>
      <c r="I93" s="1511"/>
      <c r="J93" s="1511"/>
      <c r="K93" s="1511"/>
      <c r="L93" s="1511"/>
      <c r="M93" s="1511"/>
      <c r="N93" s="1511"/>
      <c r="O93" s="1511"/>
      <c r="P93" s="1511"/>
      <c r="Q93" s="1511"/>
      <c r="R93" s="1511"/>
      <c r="S93" s="1511"/>
      <c r="T93" s="1512"/>
    </row>
    <row r="94" spans="2:20" s="35" customFormat="1" ht="14" customHeight="1" x14ac:dyDescent="0.3">
      <c r="B94" s="201">
        <v>5.3</v>
      </c>
      <c r="C94" s="152" t="s">
        <v>114</v>
      </c>
      <c r="D94" s="149" t="s">
        <v>136</v>
      </c>
      <c r="E94" s="1511"/>
      <c r="F94" s="1511"/>
      <c r="G94" s="1511"/>
      <c r="H94" s="1511"/>
      <c r="I94" s="1511"/>
      <c r="J94" s="1511"/>
      <c r="K94" s="1511"/>
      <c r="L94" s="1511"/>
      <c r="M94" s="1511"/>
      <c r="N94" s="1511"/>
      <c r="O94" s="1511"/>
      <c r="P94" s="1511"/>
      <c r="Q94" s="1511"/>
      <c r="R94" s="1511"/>
      <c r="S94" s="1511"/>
      <c r="T94" s="1512"/>
    </row>
    <row r="95" spans="2:20" s="35" customFormat="1" ht="14" customHeight="1" x14ac:dyDescent="0.3">
      <c r="B95" s="200"/>
      <c r="C95" s="147" t="s">
        <v>720</v>
      </c>
      <c r="D95" s="149" t="s">
        <v>136</v>
      </c>
      <c r="E95" s="1511"/>
      <c r="F95" s="1511"/>
      <c r="G95" s="1511"/>
      <c r="H95" s="1511"/>
      <c r="I95" s="1511"/>
      <c r="J95" s="1511"/>
      <c r="K95" s="1511"/>
      <c r="L95" s="1511"/>
      <c r="M95" s="1511"/>
      <c r="N95" s="1511"/>
      <c r="O95" s="1511"/>
      <c r="P95" s="1511"/>
      <c r="Q95" s="1511"/>
      <c r="R95" s="1511"/>
      <c r="S95" s="1511"/>
      <c r="T95" s="1512"/>
    </row>
    <row r="96" spans="2:20" s="35" customFormat="1" ht="14" customHeight="1" x14ac:dyDescent="0.3">
      <c r="B96" s="200"/>
      <c r="C96" s="147"/>
      <c r="D96" s="148"/>
      <c r="E96" s="1511"/>
      <c r="F96" s="1511"/>
      <c r="G96" s="1511"/>
      <c r="H96" s="1511"/>
      <c r="I96" s="1511"/>
      <c r="J96" s="1511"/>
      <c r="K96" s="1511"/>
      <c r="L96" s="1511"/>
      <c r="M96" s="1511"/>
      <c r="N96" s="1511"/>
      <c r="O96" s="1511"/>
      <c r="P96" s="1511"/>
      <c r="Q96" s="1511"/>
      <c r="R96" s="1511"/>
      <c r="S96" s="1511"/>
      <c r="T96" s="1512"/>
    </row>
    <row r="97" spans="2:20" s="35" customFormat="1" ht="14" customHeight="1" x14ac:dyDescent="0.3">
      <c r="B97" s="200">
        <v>6</v>
      </c>
      <c r="C97" s="147" t="s">
        <v>721</v>
      </c>
      <c r="D97" s="148"/>
      <c r="E97" s="1511"/>
      <c r="F97" s="1511"/>
      <c r="G97" s="1511"/>
      <c r="H97" s="1511"/>
      <c r="I97" s="1511"/>
      <c r="J97" s="1511"/>
      <c r="K97" s="1511"/>
      <c r="L97" s="1511"/>
      <c r="M97" s="1511"/>
      <c r="N97" s="1511"/>
      <c r="O97" s="1511"/>
      <c r="P97" s="1511"/>
      <c r="Q97" s="1511"/>
      <c r="R97" s="1511"/>
      <c r="S97" s="1511"/>
      <c r="T97" s="1512"/>
    </row>
    <row r="98" spans="2:20" s="35" customFormat="1" ht="14" customHeight="1" x14ac:dyDescent="0.3">
      <c r="B98" s="201">
        <v>6.1</v>
      </c>
      <c r="C98" s="152" t="s">
        <v>780</v>
      </c>
      <c r="D98" s="149" t="s">
        <v>136</v>
      </c>
      <c r="E98" s="1511"/>
      <c r="F98" s="1511"/>
      <c r="G98" s="1511"/>
      <c r="H98" s="1511"/>
      <c r="I98" s="1511"/>
      <c r="J98" s="1511"/>
      <c r="K98" s="1511"/>
      <c r="L98" s="1511"/>
      <c r="M98" s="1511"/>
      <c r="N98" s="1511"/>
      <c r="O98" s="1511"/>
      <c r="P98" s="1511"/>
      <c r="Q98" s="1511"/>
      <c r="R98" s="1511"/>
      <c r="S98" s="1511"/>
      <c r="T98" s="1512"/>
    </row>
    <row r="99" spans="2:20" s="35" customFormat="1" ht="14" customHeight="1" x14ac:dyDescent="0.3">
      <c r="B99" s="201">
        <v>6.2</v>
      </c>
      <c r="C99" s="152" t="s">
        <v>112</v>
      </c>
      <c r="D99" s="149" t="s">
        <v>136</v>
      </c>
      <c r="E99" s="1511"/>
      <c r="F99" s="1511"/>
      <c r="G99" s="1511"/>
      <c r="H99" s="1511"/>
      <c r="I99" s="1511"/>
      <c r="J99" s="1511"/>
      <c r="K99" s="1511"/>
      <c r="L99" s="1511"/>
      <c r="M99" s="1511"/>
      <c r="N99" s="1511"/>
      <c r="O99" s="1511"/>
      <c r="P99" s="1511"/>
      <c r="Q99" s="1511"/>
      <c r="R99" s="1511"/>
      <c r="S99" s="1511"/>
      <c r="T99" s="1512"/>
    </row>
    <row r="100" spans="2:20" s="35" customFormat="1" ht="14" customHeight="1" x14ac:dyDescent="0.3">
      <c r="B100" s="201">
        <v>6.3</v>
      </c>
      <c r="C100" s="152" t="s">
        <v>114</v>
      </c>
      <c r="D100" s="149" t="s">
        <v>136</v>
      </c>
      <c r="E100" s="1511"/>
      <c r="F100" s="1511"/>
      <c r="G100" s="1511"/>
      <c r="H100" s="1511"/>
      <c r="I100" s="1511"/>
      <c r="J100" s="1511"/>
      <c r="K100" s="1511"/>
      <c r="L100" s="1511"/>
      <c r="M100" s="1511"/>
      <c r="N100" s="1511"/>
      <c r="O100" s="1511"/>
      <c r="P100" s="1511"/>
      <c r="Q100" s="1511"/>
      <c r="R100" s="1511"/>
      <c r="S100" s="1511"/>
      <c r="T100" s="1512"/>
    </row>
    <row r="101" spans="2:20" s="35" customFormat="1" ht="14" customHeight="1" x14ac:dyDescent="0.3">
      <c r="B101" s="200"/>
      <c r="C101" s="147" t="s">
        <v>722</v>
      </c>
      <c r="D101" s="149" t="s">
        <v>136</v>
      </c>
      <c r="E101" s="1511"/>
      <c r="F101" s="1511"/>
      <c r="G101" s="1511"/>
      <c r="H101" s="1511"/>
      <c r="I101" s="1511"/>
      <c r="J101" s="1511"/>
      <c r="K101" s="1511"/>
      <c r="L101" s="1511"/>
      <c r="M101" s="1511"/>
      <c r="N101" s="1511"/>
      <c r="O101" s="1511"/>
      <c r="P101" s="1511"/>
      <c r="Q101" s="1511"/>
      <c r="R101" s="1511"/>
      <c r="S101" s="1511"/>
      <c r="T101" s="1512"/>
    </row>
    <row r="102" spans="2:20" s="35" customFormat="1" ht="14" customHeight="1" x14ac:dyDescent="0.3">
      <c r="B102" s="200"/>
      <c r="C102" s="147"/>
      <c r="D102" s="149"/>
      <c r="E102" s="1511"/>
      <c r="F102" s="1511"/>
      <c r="G102" s="1511"/>
      <c r="H102" s="1511"/>
      <c r="I102" s="1511"/>
      <c r="J102" s="1511"/>
      <c r="K102" s="1511"/>
      <c r="L102" s="1511"/>
      <c r="M102" s="1511"/>
      <c r="N102" s="1511"/>
      <c r="O102" s="1511"/>
      <c r="P102" s="1511"/>
      <c r="Q102" s="1511"/>
      <c r="R102" s="1511"/>
      <c r="S102" s="1511"/>
      <c r="T102" s="1512"/>
    </row>
    <row r="103" spans="2:20" s="35" customFormat="1" ht="14" customHeight="1" x14ac:dyDescent="0.3">
      <c r="B103" s="200">
        <v>7</v>
      </c>
      <c r="C103" s="147" t="s">
        <v>137</v>
      </c>
      <c r="D103" s="148"/>
      <c r="E103" s="1511"/>
      <c r="F103" s="1511"/>
      <c r="G103" s="1511"/>
      <c r="H103" s="1511"/>
      <c r="I103" s="1511"/>
      <c r="J103" s="1511"/>
      <c r="K103" s="1511"/>
      <c r="L103" s="1511"/>
      <c r="M103" s="1511"/>
      <c r="N103" s="1511"/>
      <c r="O103" s="1511"/>
      <c r="P103" s="1511"/>
      <c r="Q103" s="1511"/>
      <c r="R103" s="1511"/>
      <c r="S103" s="1511"/>
      <c r="T103" s="1512"/>
    </row>
    <row r="104" spans="2:20" s="35" customFormat="1" ht="14" customHeight="1" x14ac:dyDescent="0.3">
      <c r="B104" s="201" t="s">
        <v>803</v>
      </c>
      <c r="C104" s="152" t="s">
        <v>138</v>
      </c>
      <c r="D104" s="149" t="s">
        <v>136</v>
      </c>
      <c r="E104" s="1511"/>
      <c r="F104" s="1511"/>
      <c r="G104" s="1511"/>
      <c r="H104" s="1511"/>
      <c r="I104" s="1511"/>
      <c r="J104" s="1511"/>
      <c r="K104" s="1511"/>
      <c r="L104" s="1511"/>
      <c r="M104" s="1511"/>
      <c r="N104" s="1511"/>
      <c r="O104" s="1511"/>
      <c r="P104" s="1511"/>
      <c r="Q104" s="1511"/>
      <c r="R104" s="1511"/>
      <c r="S104" s="1511"/>
      <c r="T104" s="1512"/>
    </row>
    <row r="105" spans="2:20" s="35" customFormat="1" ht="14" customHeight="1" x14ac:dyDescent="0.3">
      <c r="B105" s="201" t="s">
        <v>804</v>
      </c>
      <c r="C105" s="152" t="s">
        <v>791</v>
      </c>
      <c r="D105" s="149" t="s">
        <v>136</v>
      </c>
      <c r="E105" s="1511"/>
      <c r="F105" s="1511"/>
      <c r="G105" s="1511"/>
      <c r="H105" s="1511"/>
      <c r="I105" s="1511"/>
      <c r="J105" s="1511"/>
      <c r="K105" s="1511"/>
      <c r="L105" s="1511"/>
      <c r="M105" s="1511"/>
      <c r="N105" s="1511"/>
      <c r="O105" s="1511"/>
      <c r="P105" s="1511"/>
      <c r="Q105" s="1511"/>
      <c r="R105" s="1511"/>
      <c r="S105" s="1511"/>
      <c r="T105" s="1512"/>
    </row>
    <row r="106" spans="2:20" s="35" customFormat="1" ht="14" customHeight="1" x14ac:dyDescent="0.3">
      <c r="B106" s="201" t="s">
        <v>805</v>
      </c>
      <c r="C106" s="152" t="s">
        <v>792</v>
      </c>
      <c r="D106" s="149" t="s">
        <v>136</v>
      </c>
      <c r="E106" s="1511"/>
      <c r="F106" s="1511"/>
      <c r="G106" s="1511"/>
      <c r="H106" s="1511"/>
      <c r="I106" s="1511"/>
      <c r="J106" s="1511"/>
      <c r="K106" s="1511"/>
      <c r="L106" s="1511"/>
      <c r="M106" s="1511"/>
      <c r="N106" s="1511"/>
      <c r="O106" s="1511"/>
      <c r="P106" s="1511"/>
      <c r="Q106" s="1511"/>
      <c r="R106" s="1511"/>
      <c r="S106" s="1511"/>
      <c r="T106" s="1512"/>
    </row>
    <row r="107" spans="2:20" s="35" customFormat="1" ht="14" customHeight="1" x14ac:dyDescent="0.3">
      <c r="B107" s="201"/>
      <c r="C107" s="152" t="s">
        <v>793</v>
      </c>
      <c r="D107" s="149" t="s">
        <v>136</v>
      </c>
      <c r="E107" s="1511"/>
      <c r="F107" s="1511"/>
      <c r="G107" s="1511"/>
      <c r="H107" s="1511"/>
      <c r="I107" s="1511"/>
      <c r="J107" s="1511"/>
      <c r="K107" s="1511"/>
      <c r="L107" s="1511"/>
      <c r="M107" s="1511"/>
      <c r="N107" s="1511"/>
      <c r="O107" s="1511"/>
      <c r="P107" s="1511"/>
      <c r="Q107" s="1511"/>
      <c r="R107" s="1511"/>
      <c r="S107" s="1511"/>
      <c r="T107" s="1512"/>
    </row>
    <row r="108" spans="2:20" s="35" customFormat="1" ht="14" customHeight="1" x14ac:dyDescent="0.3">
      <c r="B108" s="201"/>
      <c r="C108" s="152" t="s">
        <v>794</v>
      </c>
      <c r="D108" s="149" t="s">
        <v>136</v>
      </c>
      <c r="E108" s="1511"/>
      <c r="F108" s="1511"/>
      <c r="G108" s="1511"/>
      <c r="H108" s="1511"/>
      <c r="I108" s="1511"/>
      <c r="J108" s="1511"/>
      <c r="K108" s="1511"/>
      <c r="L108" s="1511"/>
      <c r="M108" s="1511"/>
      <c r="N108" s="1511"/>
      <c r="O108" s="1511"/>
      <c r="P108" s="1511"/>
      <c r="Q108" s="1511"/>
      <c r="R108" s="1511"/>
      <c r="S108" s="1511"/>
      <c r="T108" s="1512"/>
    </row>
    <row r="109" spans="2:20" s="35" customFormat="1" ht="14" customHeight="1" x14ac:dyDescent="0.3">
      <c r="B109" s="201"/>
      <c r="C109" s="152" t="s">
        <v>795</v>
      </c>
      <c r="D109" s="149" t="s">
        <v>136</v>
      </c>
      <c r="E109" s="1511"/>
      <c r="F109" s="1511"/>
      <c r="G109" s="1511"/>
      <c r="H109" s="1511"/>
      <c r="I109" s="1511"/>
      <c r="J109" s="1511"/>
      <c r="K109" s="1511"/>
      <c r="L109" s="1511"/>
      <c r="M109" s="1511"/>
      <c r="N109" s="1511"/>
      <c r="O109" s="1511"/>
      <c r="P109" s="1511"/>
      <c r="Q109" s="1511"/>
      <c r="R109" s="1511"/>
      <c r="S109" s="1511"/>
      <c r="T109" s="1512"/>
    </row>
    <row r="110" spans="2:20" s="35" customFormat="1" ht="14" customHeight="1" x14ac:dyDescent="0.3">
      <c r="B110" s="201"/>
      <c r="C110" s="152" t="s">
        <v>796</v>
      </c>
      <c r="D110" s="149" t="s">
        <v>136</v>
      </c>
      <c r="E110" s="1511"/>
      <c r="F110" s="1511"/>
      <c r="G110" s="1511"/>
      <c r="H110" s="1511"/>
      <c r="I110" s="1511"/>
      <c r="J110" s="1511"/>
      <c r="K110" s="1511"/>
      <c r="L110" s="1511"/>
      <c r="M110" s="1511"/>
      <c r="N110" s="1511"/>
      <c r="O110" s="1511"/>
      <c r="P110" s="1511"/>
      <c r="Q110" s="1511"/>
      <c r="R110" s="1511"/>
      <c r="S110" s="1511"/>
      <c r="T110" s="1512"/>
    </row>
    <row r="111" spans="2:20" s="35" customFormat="1" ht="14" customHeight="1" x14ac:dyDescent="0.3">
      <c r="B111" s="201"/>
      <c r="C111" s="152" t="s">
        <v>797</v>
      </c>
      <c r="D111" s="149" t="s">
        <v>136</v>
      </c>
      <c r="E111" s="1511"/>
      <c r="F111" s="1511"/>
      <c r="G111" s="1511"/>
      <c r="H111" s="1511"/>
      <c r="I111" s="1511"/>
      <c r="J111" s="1511"/>
      <c r="K111" s="1511"/>
      <c r="L111" s="1511"/>
      <c r="M111" s="1511"/>
      <c r="N111" s="1511"/>
      <c r="O111" s="1511"/>
      <c r="P111" s="1511"/>
      <c r="Q111" s="1511"/>
      <c r="R111" s="1511"/>
      <c r="S111" s="1511"/>
      <c r="T111" s="1512"/>
    </row>
    <row r="112" spans="2:20" s="35" customFormat="1" ht="14" customHeight="1" x14ac:dyDescent="0.3">
      <c r="B112" s="201"/>
      <c r="C112" s="152" t="s">
        <v>798</v>
      </c>
      <c r="D112" s="149" t="s">
        <v>136</v>
      </c>
      <c r="E112" s="1511"/>
      <c r="F112" s="1511"/>
      <c r="G112" s="1511"/>
      <c r="H112" s="1511"/>
      <c r="I112" s="1511"/>
      <c r="J112" s="1511"/>
      <c r="K112" s="1511"/>
      <c r="L112" s="1511"/>
      <c r="M112" s="1511"/>
      <c r="N112" s="1511"/>
      <c r="O112" s="1511"/>
      <c r="P112" s="1511"/>
      <c r="Q112" s="1511"/>
      <c r="R112" s="1511"/>
      <c r="S112" s="1511"/>
      <c r="T112" s="1512"/>
    </row>
    <row r="113" spans="2:20" s="35" customFormat="1" ht="14" customHeight="1" x14ac:dyDescent="0.3">
      <c r="B113" s="201"/>
      <c r="C113" s="152" t="s">
        <v>799</v>
      </c>
      <c r="D113" s="149" t="s">
        <v>136</v>
      </c>
      <c r="E113" s="1511"/>
      <c r="F113" s="1511"/>
      <c r="G113" s="1511"/>
      <c r="H113" s="1511"/>
      <c r="I113" s="1511"/>
      <c r="J113" s="1511"/>
      <c r="K113" s="1511"/>
      <c r="L113" s="1511"/>
      <c r="M113" s="1511"/>
      <c r="N113" s="1511"/>
      <c r="O113" s="1511"/>
      <c r="P113" s="1511"/>
      <c r="Q113" s="1511"/>
      <c r="R113" s="1511"/>
      <c r="S113" s="1511"/>
      <c r="T113" s="1512"/>
    </row>
    <row r="114" spans="2:20" s="35" customFormat="1" ht="14" customHeight="1" x14ac:dyDescent="0.3">
      <c r="B114" s="201"/>
      <c r="C114" s="152" t="s">
        <v>800</v>
      </c>
      <c r="D114" s="149" t="s">
        <v>136</v>
      </c>
      <c r="E114" s="1511"/>
      <c r="F114" s="1511"/>
      <c r="G114" s="1511"/>
      <c r="H114" s="1511"/>
      <c r="I114" s="1511"/>
      <c r="J114" s="1511"/>
      <c r="K114" s="1511"/>
      <c r="L114" s="1511"/>
      <c r="M114" s="1511"/>
      <c r="N114" s="1511"/>
      <c r="O114" s="1511"/>
      <c r="P114" s="1511"/>
      <c r="Q114" s="1511"/>
      <c r="R114" s="1511"/>
      <c r="S114" s="1511"/>
      <c r="T114" s="1512"/>
    </row>
    <row r="115" spans="2:20" s="35" customFormat="1" ht="14" customHeight="1" x14ac:dyDescent="0.3">
      <c r="B115" s="201"/>
      <c r="C115" s="152" t="s">
        <v>801</v>
      </c>
      <c r="D115" s="149" t="s">
        <v>136</v>
      </c>
      <c r="E115" s="1511"/>
      <c r="F115" s="1511"/>
      <c r="G115" s="1511"/>
      <c r="H115" s="1511"/>
      <c r="I115" s="1511"/>
      <c r="J115" s="1511"/>
      <c r="K115" s="1511"/>
      <c r="L115" s="1511"/>
      <c r="M115" s="1511"/>
      <c r="N115" s="1511"/>
      <c r="O115" s="1511"/>
      <c r="P115" s="1511"/>
      <c r="Q115" s="1511"/>
      <c r="R115" s="1511"/>
      <c r="S115" s="1511"/>
      <c r="T115" s="1512"/>
    </row>
    <row r="116" spans="2:20" s="35" customFormat="1" ht="14" customHeight="1" x14ac:dyDescent="0.3">
      <c r="B116" s="201"/>
      <c r="C116" s="152" t="s">
        <v>802</v>
      </c>
      <c r="D116" s="149" t="s">
        <v>136</v>
      </c>
      <c r="E116" s="1511"/>
      <c r="F116" s="1511"/>
      <c r="G116" s="1511"/>
      <c r="H116" s="1511"/>
      <c r="I116" s="1511"/>
      <c r="J116" s="1511"/>
      <c r="K116" s="1511"/>
      <c r="L116" s="1511"/>
      <c r="M116" s="1511"/>
      <c r="N116" s="1511"/>
      <c r="O116" s="1511"/>
      <c r="P116" s="1511"/>
      <c r="Q116" s="1511"/>
      <c r="R116" s="1511"/>
      <c r="S116" s="1511"/>
      <c r="T116" s="1512"/>
    </row>
    <row r="117" spans="2:20" s="35" customFormat="1" ht="14" customHeight="1" x14ac:dyDescent="0.3">
      <c r="B117" s="201"/>
      <c r="C117" s="147" t="s">
        <v>139</v>
      </c>
      <c r="D117" s="149" t="s">
        <v>136</v>
      </c>
      <c r="E117" s="1511"/>
      <c r="F117" s="1511"/>
      <c r="G117" s="1511"/>
      <c r="H117" s="1511"/>
      <c r="I117" s="1511"/>
      <c r="J117" s="1511"/>
      <c r="K117" s="1511"/>
      <c r="L117" s="1511"/>
      <c r="M117" s="1511"/>
      <c r="N117" s="1511"/>
      <c r="O117" s="1511"/>
      <c r="P117" s="1511"/>
      <c r="Q117" s="1511"/>
      <c r="R117" s="1511"/>
      <c r="S117" s="1511"/>
      <c r="T117" s="1512"/>
    </row>
    <row r="118" spans="2:20" s="35" customFormat="1" ht="14" customHeight="1" x14ac:dyDescent="0.3">
      <c r="B118" s="200"/>
      <c r="C118" s="147"/>
      <c r="D118" s="148"/>
      <c r="E118" s="1511"/>
      <c r="F118" s="1511"/>
      <c r="G118" s="1511"/>
      <c r="H118" s="1511"/>
      <c r="I118" s="1511"/>
      <c r="J118" s="1511"/>
      <c r="K118" s="1511"/>
      <c r="L118" s="1511"/>
      <c r="M118" s="1511"/>
      <c r="N118" s="1511"/>
      <c r="O118" s="1511"/>
      <c r="P118" s="1511"/>
      <c r="Q118" s="1511"/>
      <c r="R118" s="1511"/>
      <c r="S118" s="1511"/>
      <c r="T118" s="1512"/>
    </row>
    <row r="119" spans="2:20" s="6" customFormat="1" ht="14" customHeight="1" x14ac:dyDescent="0.3">
      <c r="B119" s="153">
        <v>8</v>
      </c>
      <c r="C119" s="70" t="s">
        <v>723</v>
      </c>
      <c r="D119" s="149" t="s">
        <v>136</v>
      </c>
      <c r="E119" s="1511"/>
      <c r="F119" s="1511"/>
      <c r="G119" s="1511"/>
      <c r="H119" s="1511"/>
      <c r="I119" s="1511"/>
      <c r="J119" s="1511"/>
      <c r="K119" s="1511"/>
      <c r="L119" s="1511"/>
      <c r="M119" s="1511"/>
      <c r="N119" s="1511"/>
      <c r="O119" s="1511"/>
      <c r="P119" s="1511"/>
      <c r="Q119" s="1511"/>
      <c r="R119" s="1511"/>
      <c r="S119" s="1511"/>
      <c r="T119" s="1512"/>
    </row>
    <row r="120" spans="2:20" s="6" customFormat="1" ht="14" customHeight="1" x14ac:dyDescent="0.3">
      <c r="B120" s="153"/>
      <c r="C120" s="155"/>
      <c r="D120" s="135"/>
      <c r="E120" s="1511"/>
      <c r="F120" s="1511"/>
      <c r="G120" s="1511"/>
      <c r="H120" s="1511"/>
      <c r="I120" s="1511"/>
      <c r="J120" s="1511"/>
      <c r="K120" s="1511"/>
      <c r="L120" s="1511"/>
      <c r="M120" s="1511"/>
      <c r="N120" s="1511"/>
      <c r="O120" s="1511"/>
      <c r="P120" s="1511"/>
      <c r="Q120" s="1511"/>
      <c r="R120" s="1511"/>
      <c r="S120" s="1511"/>
      <c r="T120" s="1512"/>
    </row>
    <row r="121" spans="2:20" s="6" customFormat="1" ht="14" customHeight="1" x14ac:dyDescent="0.3">
      <c r="B121" s="153">
        <v>9</v>
      </c>
      <c r="C121" s="155" t="s">
        <v>724</v>
      </c>
      <c r="D121" s="135" t="s">
        <v>140</v>
      </c>
      <c r="E121" s="1513"/>
      <c r="F121" s="1513"/>
      <c r="G121" s="1513"/>
      <c r="H121" s="1513"/>
      <c r="I121" s="1513"/>
      <c r="J121" s="1513"/>
      <c r="K121" s="1513"/>
      <c r="L121" s="1513"/>
      <c r="M121" s="1513"/>
      <c r="N121" s="1513"/>
      <c r="O121" s="1513"/>
      <c r="P121" s="1513"/>
      <c r="Q121" s="1513"/>
      <c r="R121" s="1513"/>
      <c r="S121" s="1513"/>
      <c r="T121" s="1514"/>
    </row>
    <row r="122" spans="2:20" s="1" customFormat="1" ht="16" x14ac:dyDescent="0.3">
      <c r="B122" s="203"/>
      <c r="C122" s="40"/>
      <c r="D122" s="41"/>
      <c r="E122" s="41"/>
      <c r="F122" s="41"/>
      <c r="G122" s="41"/>
      <c r="H122" s="41"/>
      <c r="I122" s="6"/>
      <c r="J122" s="6"/>
      <c r="K122" s="6"/>
      <c r="L122" s="6"/>
      <c r="M122" s="6"/>
      <c r="N122" s="6"/>
      <c r="O122" s="6"/>
      <c r="P122" s="6"/>
      <c r="Q122" s="6"/>
      <c r="R122" s="6"/>
      <c r="S122" s="6"/>
    </row>
    <row r="123" spans="2:20" s="1" customFormat="1" x14ac:dyDescent="0.3">
      <c r="B123" s="204" t="s">
        <v>141</v>
      </c>
      <c r="C123" s="40" t="s">
        <v>699</v>
      </c>
      <c r="D123" s="41"/>
      <c r="E123" s="41"/>
      <c r="F123" s="41"/>
      <c r="G123" s="41"/>
      <c r="H123" s="41"/>
      <c r="I123" s="6"/>
      <c r="J123" s="6"/>
      <c r="K123" s="6"/>
      <c r="L123" s="6"/>
      <c r="M123" s="6"/>
      <c r="N123" s="6"/>
      <c r="O123" s="6"/>
      <c r="P123" s="6"/>
      <c r="Q123" s="6"/>
      <c r="R123" s="6"/>
      <c r="S123" s="6"/>
    </row>
    <row r="124" spans="2:20" s="1" customFormat="1" ht="17.25" customHeight="1" x14ac:dyDescent="0.3">
      <c r="B124" s="205">
        <v>2</v>
      </c>
      <c r="C124" s="45" t="s">
        <v>454</v>
      </c>
      <c r="D124" s="44"/>
      <c r="E124" s="44"/>
      <c r="F124" s="44"/>
      <c r="G124" s="44"/>
      <c r="H124" s="44"/>
      <c r="I124" s="6"/>
      <c r="J124" s="6"/>
      <c r="K124" s="6"/>
      <c r="L124" s="6"/>
      <c r="M124" s="6"/>
      <c r="N124" s="6"/>
      <c r="O124" s="6"/>
      <c r="P124" s="6"/>
      <c r="Q124" s="6"/>
      <c r="R124" s="6"/>
      <c r="S124" s="6"/>
    </row>
    <row r="125" spans="2:20" s="1" customFormat="1" ht="15.75" customHeight="1" x14ac:dyDescent="0.3">
      <c r="B125" s="205">
        <v>3</v>
      </c>
      <c r="C125" s="46" t="s">
        <v>142</v>
      </c>
      <c r="D125" s="44"/>
      <c r="E125" s="44"/>
      <c r="F125" s="44"/>
      <c r="G125" s="44"/>
      <c r="H125" s="44"/>
      <c r="I125" s="47"/>
      <c r="J125" s="47"/>
      <c r="K125" s="47"/>
      <c r="L125" s="47"/>
      <c r="M125" s="11"/>
      <c r="N125" s="11"/>
      <c r="O125" s="11"/>
    </row>
    <row r="126" spans="2:20" s="1" customFormat="1" ht="15" customHeight="1" x14ac:dyDescent="0.3">
      <c r="B126" s="205">
        <v>4</v>
      </c>
      <c r="C126" s="45" t="s">
        <v>143</v>
      </c>
      <c r="D126" s="48"/>
      <c r="E126" s="48"/>
      <c r="F126" s="48"/>
      <c r="G126" s="48"/>
      <c r="H126" s="48"/>
      <c r="I126" s="43"/>
      <c r="J126" s="43"/>
      <c r="K126" s="43"/>
      <c r="L126" s="43"/>
      <c r="M126" s="43"/>
      <c r="N126" s="43"/>
      <c r="O126" s="43"/>
    </row>
    <row r="127" spans="2:20" ht="16" x14ac:dyDescent="0.3">
      <c r="B127" s="205">
        <v>5</v>
      </c>
      <c r="C127" s="5" t="s">
        <v>700</v>
      </c>
      <c r="I127" s="43"/>
      <c r="J127" s="43"/>
      <c r="K127" s="43"/>
      <c r="L127" s="43"/>
      <c r="M127" s="43"/>
      <c r="N127" s="43"/>
      <c r="O127" s="43"/>
      <c r="P127" s="1"/>
      <c r="Q127" s="1"/>
      <c r="R127" s="1"/>
      <c r="S127" s="1"/>
    </row>
    <row r="128" spans="2:20" ht="16" x14ac:dyDescent="0.3">
      <c r="B128" s="205">
        <v>6</v>
      </c>
      <c r="C128" s="5" t="s">
        <v>698</v>
      </c>
      <c r="I128" s="43"/>
      <c r="J128" s="43"/>
      <c r="K128" s="43"/>
      <c r="L128" s="43"/>
      <c r="M128" s="43"/>
      <c r="N128" s="43"/>
      <c r="O128" s="43"/>
      <c r="P128" s="1"/>
      <c r="Q128" s="1"/>
      <c r="R128" s="1"/>
      <c r="S128" s="1"/>
    </row>
    <row r="129" spans="9:19" x14ac:dyDescent="0.3">
      <c r="I129" s="50"/>
      <c r="J129" s="50"/>
      <c r="K129" s="50"/>
      <c r="L129" s="50"/>
      <c r="M129" s="50"/>
      <c r="N129" s="50"/>
      <c r="O129" s="50"/>
      <c r="P129" s="1"/>
      <c r="Q129" s="1"/>
      <c r="R129" s="1"/>
      <c r="S129" s="1"/>
    </row>
    <row r="130" spans="9:19" x14ac:dyDescent="0.3">
      <c r="M130" s="51"/>
    </row>
  </sheetData>
  <mergeCells count="11">
    <mergeCell ref="U6:U8"/>
    <mergeCell ref="E10:T121"/>
    <mergeCell ref="B2:T2"/>
    <mergeCell ref="B3:T3"/>
    <mergeCell ref="B4:T4"/>
    <mergeCell ref="B6:B8"/>
    <mergeCell ref="C6:C8"/>
    <mergeCell ref="D6:D8"/>
    <mergeCell ref="H6:J6"/>
    <mergeCell ref="K6:O6"/>
    <mergeCell ref="E6:G6"/>
  </mergeCells>
  <pageMargins left="0.82677165354330717" right="0.51181102362204722" top="0.43307086614173229" bottom="0.62992125984251968" header="0.51181102362204722" footer="0.51181102362204722"/>
  <pageSetup paperSize="9" scale="35" fitToHeight="0" orientation="landscape" r:id="rId1"/>
  <headerFooter alignWithMargins="0"/>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U80"/>
  <sheetViews>
    <sheetView showGridLines="0" view="pageBreakPreview" zoomScale="70" zoomScaleNormal="75" zoomScaleSheetLayoutView="70" workbookViewId="0">
      <pane xSplit="4" ySplit="9" topLeftCell="E10" activePane="bottomRight" state="frozen"/>
      <selection pane="topRight" activeCell="E1" sqref="E1"/>
      <selection pane="bottomLeft" activeCell="A10" sqref="A10"/>
      <selection pane="bottomRight" activeCell="A8" sqref="A8:XFD8"/>
    </sheetView>
  </sheetViews>
  <sheetFormatPr defaultColWidth="9.36328125" defaultRowHeight="14" x14ac:dyDescent="0.3"/>
  <cols>
    <col min="1" max="1" width="3.36328125" style="5" customWidth="1"/>
    <col min="2" max="2" width="8" style="5" customWidth="1"/>
    <col min="3" max="3" width="36.453125" style="5" customWidth="1"/>
    <col min="4" max="8" width="15.6328125" style="5" customWidth="1"/>
    <col min="9" max="11" width="16.36328125" style="5" customWidth="1"/>
    <col min="12" max="20" width="15.6328125" style="5" customWidth="1"/>
    <col min="21" max="16384" width="9.36328125" style="5"/>
  </cols>
  <sheetData>
    <row r="2" spans="2:21" x14ac:dyDescent="0.3">
      <c r="B2" s="1468" t="str">
        <f>Index!B2</f>
        <v xml:space="preserve">      Maharashtra State Power Generation Company Ltd.</v>
      </c>
      <c r="C2" s="1469"/>
      <c r="D2" s="1469"/>
      <c r="E2" s="1469"/>
      <c r="F2" s="1469"/>
      <c r="G2" s="1469"/>
      <c r="H2" s="1469"/>
      <c r="I2" s="1469"/>
      <c r="J2" s="1469"/>
      <c r="K2" s="1469"/>
      <c r="L2" s="1469"/>
      <c r="M2" s="1469"/>
      <c r="N2" s="1469"/>
      <c r="O2" s="1469"/>
      <c r="P2" s="1469"/>
      <c r="Q2" s="1469"/>
      <c r="R2" s="1469"/>
      <c r="S2" s="1469"/>
      <c r="T2" s="1469"/>
    </row>
    <row r="3" spans="2:21" x14ac:dyDescent="0.3">
      <c r="B3" s="1468" t="str">
        <f>Index!B3</f>
        <v>MYT Petition Formats for SHP Hydro</v>
      </c>
      <c r="C3" s="1469"/>
      <c r="D3" s="1469"/>
      <c r="E3" s="1469"/>
      <c r="F3" s="1469"/>
      <c r="G3" s="1469"/>
      <c r="H3" s="1469"/>
      <c r="I3" s="1469"/>
      <c r="J3" s="1469"/>
      <c r="K3" s="1469"/>
      <c r="L3" s="1469"/>
      <c r="M3" s="1469"/>
      <c r="N3" s="1469"/>
      <c r="O3" s="1469"/>
      <c r="P3" s="1469"/>
      <c r="Q3" s="1469"/>
      <c r="R3" s="1469"/>
      <c r="S3" s="1469"/>
      <c r="T3" s="1469"/>
    </row>
    <row r="4" spans="2:21" x14ac:dyDescent="0.3">
      <c r="B4" s="1470" t="s">
        <v>390</v>
      </c>
      <c r="C4" s="1469"/>
      <c r="D4" s="1469"/>
      <c r="E4" s="1469"/>
      <c r="F4" s="1469"/>
      <c r="G4" s="1469"/>
      <c r="H4" s="1469"/>
      <c r="I4" s="1469"/>
      <c r="J4" s="1469"/>
      <c r="K4" s="1469"/>
      <c r="L4" s="1469"/>
      <c r="M4" s="1469"/>
      <c r="N4" s="1469"/>
      <c r="O4" s="1469"/>
      <c r="P4" s="1469"/>
      <c r="Q4" s="1469"/>
      <c r="R4" s="1469"/>
      <c r="S4" s="1469"/>
      <c r="T4" s="1469"/>
    </row>
    <row r="5" spans="2:21" x14ac:dyDescent="0.3">
      <c r="B5" s="1468"/>
      <c r="C5" s="1469"/>
      <c r="D5" s="1469"/>
      <c r="E5" s="1469"/>
      <c r="F5" s="1469"/>
      <c r="G5" s="1469"/>
      <c r="H5" s="1469"/>
      <c r="I5" s="1469"/>
      <c r="J5" s="1469"/>
      <c r="K5" s="1469"/>
      <c r="L5" s="1469"/>
      <c r="M5" s="1469"/>
      <c r="N5" s="1469"/>
      <c r="O5" s="1469"/>
      <c r="P5" s="1469"/>
      <c r="Q5" s="1469"/>
      <c r="R5" s="1469"/>
      <c r="S5" s="1469"/>
      <c r="T5" s="1469"/>
    </row>
    <row r="6" spans="2:21" x14ac:dyDescent="0.3">
      <c r="B6" s="52"/>
      <c r="C6" s="16"/>
      <c r="D6" s="17"/>
      <c r="E6" s="17"/>
      <c r="F6" s="17"/>
      <c r="G6" s="17"/>
      <c r="H6" s="17"/>
      <c r="I6" s="17"/>
      <c r="J6" s="17"/>
      <c r="K6" s="17"/>
      <c r="L6" s="17"/>
      <c r="M6" s="17"/>
    </row>
    <row r="7" spans="2:21" s="34" customFormat="1" x14ac:dyDescent="0.3">
      <c r="B7" s="1521" t="s">
        <v>343</v>
      </c>
      <c r="C7" s="1523" t="s">
        <v>37</v>
      </c>
      <c r="D7" s="1523" t="s">
        <v>144</v>
      </c>
      <c r="E7" s="1478" t="s">
        <v>519</v>
      </c>
      <c r="F7" s="1479"/>
      <c r="G7" s="1480"/>
      <c r="H7" s="1478" t="s">
        <v>520</v>
      </c>
      <c r="I7" s="1479"/>
      <c r="J7" s="1480"/>
      <c r="K7" s="1478" t="s">
        <v>521</v>
      </c>
      <c r="L7" s="1479"/>
      <c r="M7" s="1479"/>
      <c r="N7" s="1479"/>
      <c r="O7" s="1480"/>
      <c r="P7" s="588" t="s">
        <v>940</v>
      </c>
      <c r="Q7" s="588" t="s">
        <v>941</v>
      </c>
      <c r="R7" s="588" t="s">
        <v>945</v>
      </c>
      <c r="S7" s="588" t="s">
        <v>942</v>
      </c>
      <c r="T7" s="588" t="s">
        <v>944</v>
      </c>
      <c r="U7" s="1476" t="s">
        <v>27</v>
      </c>
    </row>
    <row r="8" spans="2:21" s="35" customFormat="1" ht="44.25" customHeight="1" x14ac:dyDescent="0.25">
      <c r="B8" s="1521"/>
      <c r="C8" s="1523"/>
      <c r="D8" s="1523"/>
      <c r="E8" s="587" t="s">
        <v>982</v>
      </c>
      <c r="F8" s="589" t="s">
        <v>79</v>
      </c>
      <c r="G8" s="589" t="s">
        <v>459</v>
      </c>
      <c r="H8" s="587" t="s">
        <v>982</v>
      </c>
      <c r="I8" s="589" t="s">
        <v>79</v>
      </c>
      <c r="J8" s="589" t="s">
        <v>459</v>
      </c>
      <c r="K8" s="589" t="s">
        <v>982</v>
      </c>
      <c r="L8" s="589" t="s">
        <v>449</v>
      </c>
      <c r="M8" s="589" t="s">
        <v>455</v>
      </c>
      <c r="N8" s="589" t="s">
        <v>80</v>
      </c>
      <c r="O8" s="589" t="s">
        <v>460</v>
      </c>
      <c r="P8" s="589" t="s">
        <v>943</v>
      </c>
      <c r="Q8" s="589" t="s">
        <v>943</v>
      </c>
      <c r="R8" s="589" t="s">
        <v>943</v>
      </c>
      <c r="S8" s="589" t="s">
        <v>943</v>
      </c>
      <c r="T8" s="589" t="s">
        <v>943</v>
      </c>
      <c r="U8" s="1476"/>
    </row>
    <row r="9" spans="2:21" s="35" customFormat="1" x14ac:dyDescent="0.25">
      <c r="B9" s="1522"/>
      <c r="C9" s="1475"/>
      <c r="D9" s="1475"/>
      <c r="E9" s="589" t="s">
        <v>81</v>
      </c>
      <c r="F9" s="589" t="s">
        <v>82</v>
      </c>
      <c r="G9" s="589" t="s">
        <v>692</v>
      </c>
      <c r="H9" s="589" t="s">
        <v>397</v>
      </c>
      <c r="I9" s="589" t="s">
        <v>414</v>
      </c>
      <c r="J9" s="589" t="s">
        <v>465</v>
      </c>
      <c r="K9" s="589" t="s">
        <v>415</v>
      </c>
      <c r="L9" s="589" t="s">
        <v>416</v>
      </c>
      <c r="M9" s="589" t="s">
        <v>603</v>
      </c>
      <c r="N9" s="589" t="s">
        <v>693</v>
      </c>
      <c r="O9" s="589" t="s">
        <v>516</v>
      </c>
      <c r="P9" s="589" t="s">
        <v>605</v>
      </c>
      <c r="Q9" s="589" t="s">
        <v>606</v>
      </c>
      <c r="R9" s="589" t="s">
        <v>607</v>
      </c>
      <c r="S9" s="589" t="s">
        <v>672</v>
      </c>
      <c r="T9" s="589" t="s">
        <v>608</v>
      </c>
      <c r="U9" s="1477"/>
    </row>
    <row r="10" spans="2:21" s="35" customFormat="1" ht="15" x14ac:dyDescent="0.25">
      <c r="B10" s="389" t="s">
        <v>170</v>
      </c>
      <c r="C10" s="390" t="s">
        <v>812</v>
      </c>
      <c r="D10" s="156"/>
      <c r="E10" s="156"/>
      <c r="F10" s="156"/>
      <c r="G10" s="156"/>
      <c r="H10" s="156"/>
      <c r="I10" s="38"/>
      <c r="J10" s="38"/>
      <c r="K10" s="38"/>
      <c r="L10" s="38"/>
      <c r="M10" s="38"/>
      <c r="N10" s="38"/>
      <c r="O10" s="38"/>
      <c r="P10" s="38"/>
      <c r="Q10" s="38"/>
      <c r="R10" s="38"/>
      <c r="S10" s="38"/>
      <c r="T10" s="38"/>
    </row>
    <row r="11" spans="2:21" s="6" customFormat="1" x14ac:dyDescent="0.3">
      <c r="B11" s="141">
        <v>1</v>
      </c>
      <c r="C11" s="157" t="s">
        <v>145</v>
      </c>
      <c r="D11" s="144" t="s">
        <v>117</v>
      </c>
      <c r="E11" s="1515" t="s">
        <v>839</v>
      </c>
      <c r="F11" s="1515"/>
      <c r="G11" s="1515"/>
      <c r="H11" s="1515"/>
      <c r="I11" s="1515"/>
      <c r="J11" s="1515"/>
      <c r="K11" s="1515"/>
      <c r="L11" s="1515"/>
      <c r="M11" s="1515"/>
      <c r="N11" s="1515"/>
      <c r="O11" s="1515"/>
      <c r="P11" s="1515"/>
      <c r="Q11" s="1515"/>
      <c r="R11" s="1515"/>
      <c r="S11" s="1515"/>
      <c r="T11" s="1516"/>
    </row>
    <row r="12" spans="2:21" s="6" customFormat="1" x14ac:dyDescent="0.3">
      <c r="B12" s="141">
        <f>B11+1</f>
        <v>2</v>
      </c>
      <c r="C12" s="57" t="s">
        <v>813</v>
      </c>
      <c r="D12" s="144" t="s">
        <v>117</v>
      </c>
      <c r="E12" s="1517"/>
      <c r="F12" s="1517"/>
      <c r="G12" s="1517"/>
      <c r="H12" s="1517"/>
      <c r="I12" s="1517"/>
      <c r="J12" s="1517"/>
      <c r="K12" s="1517"/>
      <c r="L12" s="1517"/>
      <c r="M12" s="1517"/>
      <c r="N12" s="1517"/>
      <c r="O12" s="1517"/>
      <c r="P12" s="1517"/>
      <c r="Q12" s="1517"/>
      <c r="R12" s="1517"/>
      <c r="S12" s="1517"/>
      <c r="T12" s="1518"/>
    </row>
    <row r="13" spans="2:21" s="6" customFormat="1" x14ac:dyDescent="0.3">
      <c r="B13" s="141">
        <f t="shared" ref="B13:B27" si="0">B12+1</f>
        <v>3</v>
      </c>
      <c r="C13" s="57" t="s">
        <v>226</v>
      </c>
      <c r="D13" s="144" t="s">
        <v>117</v>
      </c>
      <c r="E13" s="1517"/>
      <c r="F13" s="1517"/>
      <c r="G13" s="1517"/>
      <c r="H13" s="1517"/>
      <c r="I13" s="1517"/>
      <c r="J13" s="1517"/>
      <c r="K13" s="1517"/>
      <c r="L13" s="1517"/>
      <c r="M13" s="1517"/>
      <c r="N13" s="1517"/>
      <c r="O13" s="1517"/>
      <c r="P13" s="1517"/>
      <c r="Q13" s="1517"/>
      <c r="R13" s="1517"/>
      <c r="S13" s="1517"/>
      <c r="T13" s="1518"/>
    </row>
    <row r="14" spans="2:21" s="6" customFormat="1" x14ac:dyDescent="0.3">
      <c r="B14" s="141">
        <f t="shared" si="0"/>
        <v>4</v>
      </c>
      <c r="C14" s="57" t="s">
        <v>814</v>
      </c>
      <c r="D14" s="144" t="s">
        <v>117</v>
      </c>
      <c r="E14" s="1517"/>
      <c r="F14" s="1517"/>
      <c r="G14" s="1517"/>
      <c r="H14" s="1517"/>
      <c r="I14" s="1517"/>
      <c r="J14" s="1517"/>
      <c r="K14" s="1517"/>
      <c r="L14" s="1517"/>
      <c r="M14" s="1517"/>
      <c r="N14" s="1517"/>
      <c r="O14" s="1517"/>
      <c r="P14" s="1517"/>
      <c r="Q14" s="1517"/>
      <c r="R14" s="1517"/>
      <c r="S14" s="1517"/>
      <c r="T14" s="1518"/>
    </row>
    <row r="15" spans="2:21" s="6" customFormat="1" x14ac:dyDescent="0.3">
      <c r="B15" s="141">
        <f t="shared" si="0"/>
        <v>5</v>
      </c>
      <c r="C15" s="57" t="s">
        <v>815</v>
      </c>
      <c r="D15" s="144" t="s">
        <v>117</v>
      </c>
      <c r="E15" s="1517"/>
      <c r="F15" s="1517"/>
      <c r="G15" s="1517"/>
      <c r="H15" s="1517"/>
      <c r="I15" s="1517"/>
      <c r="J15" s="1517"/>
      <c r="K15" s="1517"/>
      <c r="L15" s="1517"/>
      <c r="M15" s="1517"/>
      <c r="N15" s="1517"/>
      <c r="O15" s="1517"/>
      <c r="P15" s="1517"/>
      <c r="Q15" s="1517"/>
      <c r="R15" s="1517"/>
      <c r="S15" s="1517"/>
      <c r="T15" s="1518"/>
    </row>
    <row r="16" spans="2:21" s="6" customFormat="1" x14ac:dyDescent="0.3">
      <c r="B16" s="141">
        <f t="shared" si="0"/>
        <v>6</v>
      </c>
      <c r="C16" s="57" t="s">
        <v>149</v>
      </c>
      <c r="D16" s="144" t="s">
        <v>117</v>
      </c>
      <c r="E16" s="1517"/>
      <c r="F16" s="1517"/>
      <c r="G16" s="1517"/>
      <c r="H16" s="1517"/>
      <c r="I16" s="1517"/>
      <c r="J16" s="1517"/>
      <c r="K16" s="1517"/>
      <c r="L16" s="1517"/>
      <c r="M16" s="1517"/>
      <c r="N16" s="1517"/>
      <c r="O16" s="1517"/>
      <c r="P16" s="1517"/>
      <c r="Q16" s="1517"/>
      <c r="R16" s="1517"/>
      <c r="S16" s="1517"/>
      <c r="T16" s="1518"/>
    </row>
    <row r="17" spans="2:20" s="6" customFormat="1" x14ac:dyDescent="0.3">
      <c r="B17" s="141">
        <f t="shared" si="0"/>
        <v>7</v>
      </c>
      <c r="C17" s="57" t="s">
        <v>816</v>
      </c>
      <c r="D17" s="144" t="s">
        <v>117</v>
      </c>
      <c r="E17" s="1517"/>
      <c r="F17" s="1517"/>
      <c r="G17" s="1517"/>
      <c r="H17" s="1517"/>
      <c r="I17" s="1517"/>
      <c r="J17" s="1517"/>
      <c r="K17" s="1517"/>
      <c r="L17" s="1517"/>
      <c r="M17" s="1517"/>
      <c r="N17" s="1517"/>
      <c r="O17" s="1517"/>
      <c r="P17" s="1517"/>
      <c r="Q17" s="1517"/>
      <c r="R17" s="1517"/>
      <c r="S17" s="1517"/>
      <c r="T17" s="1518"/>
    </row>
    <row r="18" spans="2:20" s="6" customFormat="1" x14ac:dyDescent="0.3">
      <c r="B18" s="141">
        <f t="shared" si="0"/>
        <v>8</v>
      </c>
      <c r="C18" s="57" t="s">
        <v>817</v>
      </c>
      <c r="D18" s="144" t="s">
        <v>117</v>
      </c>
      <c r="E18" s="1517"/>
      <c r="F18" s="1517"/>
      <c r="G18" s="1517"/>
      <c r="H18" s="1517"/>
      <c r="I18" s="1517"/>
      <c r="J18" s="1517"/>
      <c r="K18" s="1517"/>
      <c r="L18" s="1517"/>
      <c r="M18" s="1517"/>
      <c r="N18" s="1517"/>
      <c r="O18" s="1517"/>
      <c r="P18" s="1517"/>
      <c r="Q18" s="1517"/>
      <c r="R18" s="1517"/>
      <c r="S18" s="1517"/>
      <c r="T18" s="1518"/>
    </row>
    <row r="19" spans="2:20" s="6" customFormat="1" x14ac:dyDescent="0.3">
      <c r="B19" s="141">
        <f t="shared" si="0"/>
        <v>9</v>
      </c>
      <c r="C19" s="57" t="s">
        <v>818</v>
      </c>
      <c r="D19" s="144" t="s">
        <v>117</v>
      </c>
      <c r="E19" s="1517"/>
      <c r="F19" s="1517"/>
      <c r="G19" s="1517"/>
      <c r="H19" s="1517"/>
      <c r="I19" s="1517"/>
      <c r="J19" s="1517"/>
      <c r="K19" s="1517"/>
      <c r="L19" s="1517"/>
      <c r="M19" s="1517"/>
      <c r="N19" s="1517"/>
      <c r="O19" s="1517"/>
      <c r="P19" s="1517"/>
      <c r="Q19" s="1517"/>
      <c r="R19" s="1517"/>
      <c r="S19" s="1517"/>
      <c r="T19" s="1518"/>
    </row>
    <row r="20" spans="2:20" s="6" customFormat="1" x14ac:dyDescent="0.3">
      <c r="B20" s="141">
        <f t="shared" si="0"/>
        <v>10</v>
      </c>
      <c r="C20" s="57" t="s">
        <v>819</v>
      </c>
      <c r="D20" s="144" t="s">
        <v>117</v>
      </c>
      <c r="E20" s="1517"/>
      <c r="F20" s="1517"/>
      <c r="G20" s="1517"/>
      <c r="H20" s="1517"/>
      <c r="I20" s="1517"/>
      <c r="J20" s="1517"/>
      <c r="K20" s="1517"/>
      <c r="L20" s="1517"/>
      <c r="M20" s="1517"/>
      <c r="N20" s="1517"/>
      <c r="O20" s="1517"/>
      <c r="P20" s="1517"/>
      <c r="Q20" s="1517"/>
      <c r="R20" s="1517"/>
      <c r="S20" s="1517"/>
      <c r="T20" s="1518"/>
    </row>
    <row r="21" spans="2:20" s="6" customFormat="1" x14ac:dyDescent="0.3">
      <c r="B21" s="141">
        <f t="shared" si="0"/>
        <v>11</v>
      </c>
      <c r="C21" s="57" t="s">
        <v>820</v>
      </c>
      <c r="D21" s="144" t="s">
        <v>117</v>
      </c>
      <c r="E21" s="1517"/>
      <c r="F21" s="1517"/>
      <c r="G21" s="1517"/>
      <c r="H21" s="1517"/>
      <c r="I21" s="1517"/>
      <c r="J21" s="1517"/>
      <c r="K21" s="1517"/>
      <c r="L21" s="1517"/>
      <c r="M21" s="1517"/>
      <c r="N21" s="1517"/>
      <c r="O21" s="1517"/>
      <c r="P21" s="1517"/>
      <c r="Q21" s="1517"/>
      <c r="R21" s="1517"/>
      <c r="S21" s="1517"/>
      <c r="T21" s="1518"/>
    </row>
    <row r="22" spans="2:20" s="6" customFormat="1" x14ac:dyDescent="0.3">
      <c r="B22" s="141">
        <f t="shared" si="0"/>
        <v>12</v>
      </c>
      <c r="C22" s="57" t="s">
        <v>820</v>
      </c>
      <c r="D22" s="144" t="s">
        <v>117</v>
      </c>
      <c r="E22" s="1517"/>
      <c r="F22" s="1517"/>
      <c r="G22" s="1517"/>
      <c r="H22" s="1517"/>
      <c r="I22" s="1517"/>
      <c r="J22" s="1517"/>
      <c r="K22" s="1517"/>
      <c r="L22" s="1517"/>
      <c r="M22" s="1517"/>
      <c r="N22" s="1517"/>
      <c r="O22" s="1517"/>
      <c r="P22" s="1517"/>
      <c r="Q22" s="1517"/>
      <c r="R22" s="1517"/>
      <c r="S22" s="1517"/>
      <c r="T22" s="1518"/>
    </row>
    <row r="23" spans="2:20" s="6" customFormat="1" x14ac:dyDescent="0.3">
      <c r="B23" s="141">
        <f t="shared" si="0"/>
        <v>13</v>
      </c>
      <c r="C23" s="57" t="s">
        <v>821</v>
      </c>
      <c r="D23" s="144" t="s">
        <v>117</v>
      </c>
      <c r="E23" s="1517"/>
      <c r="F23" s="1517"/>
      <c r="G23" s="1517"/>
      <c r="H23" s="1517"/>
      <c r="I23" s="1517"/>
      <c r="J23" s="1517"/>
      <c r="K23" s="1517"/>
      <c r="L23" s="1517"/>
      <c r="M23" s="1517"/>
      <c r="N23" s="1517"/>
      <c r="O23" s="1517"/>
      <c r="P23" s="1517"/>
      <c r="Q23" s="1517"/>
      <c r="R23" s="1517"/>
      <c r="S23" s="1517"/>
      <c r="T23" s="1518"/>
    </row>
    <row r="24" spans="2:20" s="6" customFormat="1" ht="32.5" customHeight="1" x14ac:dyDescent="0.3">
      <c r="B24" s="141">
        <f t="shared" si="0"/>
        <v>14</v>
      </c>
      <c r="C24" s="59" t="s">
        <v>725</v>
      </c>
      <c r="D24" s="144" t="s">
        <v>117</v>
      </c>
      <c r="E24" s="1517"/>
      <c r="F24" s="1517"/>
      <c r="G24" s="1517"/>
      <c r="H24" s="1517"/>
      <c r="I24" s="1517"/>
      <c r="J24" s="1517"/>
      <c r="K24" s="1517"/>
      <c r="L24" s="1517"/>
      <c r="M24" s="1517"/>
      <c r="N24" s="1517"/>
      <c r="O24" s="1517"/>
      <c r="P24" s="1517"/>
      <c r="Q24" s="1517"/>
      <c r="R24" s="1517"/>
      <c r="S24" s="1517"/>
      <c r="T24" s="1518"/>
    </row>
    <row r="25" spans="2:20" s="6" customFormat="1" x14ac:dyDescent="0.3">
      <c r="B25" s="141">
        <f t="shared" si="0"/>
        <v>15</v>
      </c>
      <c r="C25" s="58" t="s">
        <v>151</v>
      </c>
      <c r="D25" s="144" t="s">
        <v>98</v>
      </c>
      <c r="E25" s="1517"/>
      <c r="F25" s="1517"/>
      <c r="G25" s="1517"/>
      <c r="H25" s="1517"/>
      <c r="I25" s="1517"/>
      <c r="J25" s="1517"/>
      <c r="K25" s="1517"/>
      <c r="L25" s="1517"/>
      <c r="M25" s="1517"/>
      <c r="N25" s="1517"/>
      <c r="O25" s="1517"/>
      <c r="P25" s="1517"/>
      <c r="Q25" s="1517"/>
      <c r="R25" s="1517"/>
      <c r="S25" s="1517"/>
      <c r="T25" s="1518"/>
    </row>
    <row r="26" spans="2:20" s="6" customFormat="1" x14ac:dyDescent="0.3">
      <c r="B26" s="141">
        <f t="shared" si="0"/>
        <v>16</v>
      </c>
      <c r="C26" s="58" t="s">
        <v>704</v>
      </c>
      <c r="D26" s="144" t="s">
        <v>117</v>
      </c>
      <c r="E26" s="1517"/>
      <c r="F26" s="1517"/>
      <c r="G26" s="1517"/>
      <c r="H26" s="1517"/>
      <c r="I26" s="1517"/>
      <c r="J26" s="1517"/>
      <c r="K26" s="1517"/>
      <c r="L26" s="1517"/>
      <c r="M26" s="1517"/>
      <c r="N26" s="1517"/>
      <c r="O26" s="1517"/>
      <c r="P26" s="1517"/>
      <c r="Q26" s="1517"/>
      <c r="R26" s="1517"/>
      <c r="S26" s="1517"/>
      <c r="T26" s="1518"/>
    </row>
    <row r="27" spans="2:20" s="6" customFormat="1" ht="28" x14ac:dyDescent="0.3">
      <c r="B27" s="141">
        <f t="shared" si="0"/>
        <v>17</v>
      </c>
      <c r="C27" s="59" t="s">
        <v>726</v>
      </c>
      <c r="D27" s="159" t="s">
        <v>117</v>
      </c>
      <c r="E27" s="1517"/>
      <c r="F27" s="1517"/>
      <c r="G27" s="1517"/>
      <c r="H27" s="1517"/>
      <c r="I27" s="1517"/>
      <c r="J27" s="1517"/>
      <c r="K27" s="1517"/>
      <c r="L27" s="1517"/>
      <c r="M27" s="1517"/>
      <c r="N27" s="1517"/>
      <c r="O27" s="1517"/>
      <c r="P27" s="1517"/>
      <c r="Q27" s="1517"/>
      <c r="R27" s="1517"/>
      <c r="S27" s="1517"/>
      <c r="T27" s="1518"/>
    </row>
    <row r="28" spans="2:20" s="6" customFormat="1" x14ac:dyDescent="0.3">
      <c r="B28" s="167"/>
      <c r="C28" s="59"/>
      <c r="D28" s="159"/>
      <c r="E28" s="1517"/>
      <c r="F28" s="1517"/>
      <c r="G28" s="1517"/>
      <c r="H28" s="1517"/>
      <c r="I28" s="1517"/>
      <c r="J28" s="1517"/>
      <c r="K28" s="1517"/>
      <c r="L28" s="1517"/>
      <c r="M28" s="1517"/>
      <c r="N28" s="1517"/>
      <c r="O28" s="1517"/>
      <c r="P28" s="1517"/>
      <c r="Q28" s="1517"/>
      <c r="R28" s="1517"/>
      <c r="S28" s="1517"/>
      <c r="T28" s="1518"/>
    </row>
    <row r="29" spans="2:20" s="6" customFormat="1" ht="15" x14ac:dyDescent="0.3">
      <c r="B29" s="392" t="s">
        <v>183</v>
      </c>
      <c r="C29" s="393" t="s">
        <v>822</v>
      </c>
      <c r="D29" s="159"/>
      <c r="E29" s="1517"/>
      <c r="F29" s="1517"/>
      <c r="G29" s="1517"/>
      <c r="H29" s="1517"/>
      <c r="I29" s="1517"/>
      <c r="J29" s="1517"/>
      <c r="K29" s="1517"/>
      <c r="L29" s="1517"/>
      <c r="M29" s="1517"/>
      <c r="N29" s="1517"/>
      <c r="O29" s="1517"/>
      <c r="P29" s="1517"/>
      <c r="Q29" s="1517"/>
      <c r="R29" s="1517"/>
      <c r="S29" s="1517"/>
      <c r="T29" s="1518"/>
    </row>
    <row r="30" spans="2:20" s="6" customFormat="1" ht="15.5" x14ac:dyDescent="0.3">
      <c r="B30" s="394">
        <v>1</v>
      </c>
      <c r="C30" s="57" t="s">
        <v>823</v>
      </c>
      <c r="D30" s="167" t="s">
        <v>117</v>
      </c>
      <c r="E30" s="1517"/>
      <c r="F30" s="1517"/>
      <c r="G30" s="1517"/>
      <c r="H30" s="1517"/>
      <c r="I30" s="1517"/>
      <c r="J30" s="1517"/>
      <c r="K30" s="1517"/>
      <c r="L30" s="1517"/>
      <c r="M30" s="1517"/>
      <c r="N30" s="1517"/>
      <c r="O30" s="1517"/>
      <c r="P30" s="1517"/>
      <c r="Q30" s="1517"/>
      <c r="R30" s="1517"/>
      <c r="S30" s="1517"/>
      <c r="T30" s="1518"/>
    </row>
    <row r="31" spans="2:20" s="6" customFormat="1" ht="15.5" x14ac:dyDescent="0.3">
      <c r="B31" s="394">
        <v>2</v>
      </c>
      <c r="C31" s="57" t="s">
        <v>824</v>
      </c>
      <c r="D31" s="167" t="s">
        <v>117</v>
      </c>
      <c r="E31" s="1517"/>
      <c r="F31" s="1517"/>
      <c r="G31" s="1517"/>
      <c r="H31" s="1517"/>
      <c r="I31" s="1517"/>
      <c r="J31" s="1517"/>
      <c r="K31" s="1517"/>
      <c r="L31" s="1517"/>
      <c r="M31" s="1517"/>
      <c r="N31" s="1517"/>
      <c r="O31" s="1517"/>
      <c r="P31" s="1517"/>
      <c r="Q31" s="1517"/>
      <c r="R31" s="1517"/>
      <c r="S31" s="1517"/>
      <c r="T31" s="1518"/>
    </row>
    <row r="32" spans="2:20" s="6" customFormat="1" ht="15.5" x14ac:dyDescent="0.3">
      <c r="B32" s="394">
        <v>3</v>
      </c>
      <c r="C32" s="57" t="s">
        <v>226</v>
      </c>
      <c r="D32" s="167" t="s">
        <v>117</v>
      </c>
      <c r="E32" s="1517"/>
      <c r="F32" s="1517"/>
      <c r="G32" s="1517"/>
      <c r="H32" s="1517"/>
      <c r="I32" s="1517"/>
      <c r="J32" s="1517"/>
      <c r="K32" s="1517"/>
      <c r="L32" s="1517"/>
      <c r="M32" s="1517"/>
      <c r="N32" s="1517"/>
      <c r="O32" s="1517"/>
      <c r="P32" s="1517"/>
      <c r="Q32" s="1517"/>
      <c r="R32" s="1517"/>
      <c r="S32" s="1517"/>
      <c r="T32" s="1518"/>
    </row>
    <row r="33" spans="2:20" s="6" customFormat="1" ht="15.5" x14ac:dyDescent="0.3">
      <c r="B33" s="394">
        <v>4</v>
      </c>
      <c r="C33" s="57" t="s">
        <v>825</v>
      </c>
      <c r="D33" s="167" t="s">
        <v>117</v>
      </c>
      <c r="E33" s="1517"/>
      <c r="F33" s="1517"/>
      <c r="G33" s="1517"/>
      <c r="H33" s="1517"/>
      <c r="I33" s="1517"/>
      <c r="J33" s="1517"/>
      <c r="K33" s="1517"/>
      <c r="L33" s="1517"/>
      <c r="M33" s="1517"/>
      <c r="N33" s="1517"/>
      <c r="O33" s="1517"/>
      <c r="P33" s="1517"/>
      <c r="Q33" s="1517"/>
      <c r="R33" s="1517"/>
      <c r="S33" s="1517"/>
      <c r="T33" s="1518"/>
    </row>
    <row r="34" spans="2:20" s="6" customFormat="1" ht="15.5" x14ac:dyDescent="0.3">
      <c r="B34" s="394">
        <v>5</v>
      </c>
      <c r="C34" s="57" t="s">
        <v>826</v>
      </c>
      <c r="D34" s="167" t="s">
        <v>117</v>
      </c>
      <c r="E34" s="1517"/>
      <c r="F34" s="1517"/>
      <c r="G34" s="1517"/>
      <c r="H34" s="1517"/>
      <c r="I34" s="1517"/>
      <c r="J34" s="1517"/>
      <c r="K34" s="1517"/>
      <c r="L34" s="1517"/>
      <c r="M34" s="1517"/>
      <c r="N34" s="1517"/>
      <c r="O34" s="1517"/>
      <c r="P34" s="1517"/>
      <c r="Q34" s="1517"/>
      <c r="R34" s="1517"/>
      <c r="S34" s="1517"/>
      <c r="T34" s="1518"/>
    </row>
    <row r="35" spans="2:20" s="6" customFormat="1" ht="15.5" x14ac:dyDescent="0.3">
      <c r="B35" s="394">
        <v>6</v>
      </c>
      <c r="C35" s="57" t="s">
        <v>816</v>
      </c>
      <c r="D35" s="167" t="s">
        <v>117</v>
      </c>
      <c r="E35" s="1517"/>
      <c r="F35" s="1517"/>
      <c r="G35" s="1517"/>
      <c r="H35" s="1517"/>
      <c r="I35" s="1517"/>
      <c r="J35" s="1517"/>
      <c r="K35" s="1517"/>
      <c r="L35" s="1517"/>
      <c r="M35" s="1517"/>
      <c r="N35" s="1517"/>
      <c r="O35" s="1517"/>
      <c r="P35" s="1517"/>
      <c r="Q35" s="1517"/>
      <c r="R35" s="1517"/>
      <c r="S35" s="1517"/>
      <c r="T35" s="1518"/>
    </row>
    <row r="36" spans="2:20" s="6" customFormat="1" ht="15.5" x14ac:dyDescent="0.3">
      <c r="B36" s="394">
        <v>7</v>
      </c>
      <c r="C36" s="57" t="s">
        <v>817</v>
      </c>
      <c r="D36" s="167" t="s">
        <v>117</v>
      </c>
      <c r="E36" s="1517"/>
      <c r="F36" s="1517"/>
      <c r="G36" s="1517"/>
      <c r="H36" s="1517"/>
      <c r="I36" s="1517"/>
      <c r="J36" s="1517"/>
      <c r="K36" s="1517"/>
      <c r="L36" s="1517"/>
      <c r="M36" s="1517"/>
      <c r="N36" s="1517"/>
      <c r="O36" s="1517"/>
      <c r="P36" s="1517"/>
      <c r="Q36" s="1517"/>
      <c r="R36" s="1517"/>
      <c r="S36" s="1517"/>
      <c r="T36" s="1518"/>
    </row>
    <row r="37" spans="2:20" s="6" customFormat="1" ht="15.5" x14ac:dyDescent="0.3">
      <c r="B37" s="394">
        <v>8</v>
      </c>
      <c r="C37" s="57" t="s">
        <v>818</v>
      </c>
      <c r="D37" s="167" t="s">
        <v>117</v>
      </c>
      <c r="E37" s="1517"/>
      <c r="F37" s="1517"/>
      <c r="G37" s="1517"/>
      <c r="H37" s="1517"/>
      <c r="I37" s="1517"/>
      <c r="J37" s="1517"/>
      <c r="K37" s="1517"/>
      <c r="L37" s="1517"/>
      <c r="M37" s="1517"/>
      <c r="N37" s="1517"/>
      <c r="O37" s="1517"/>
      <c r="P37" s="1517"/>
      <c r="Q37" s="1517"/>
      <c r="R37" s="1517"/>
      <c r="S37" s="1517"/>
      <c r="T37" s="1518"/>
    </row>
    <row r="38" spans="2:20" s="6" customFormat="1" ht="15.5" x14ac:dyDescent="0.3">
      <c r="B38" s="394">
        <v>9</v>
      </c>
      <c r="C38" s="57" t="s">
        <v>208</v>
      </c>
      <c r="D38" s="167" t="s">
        <v>117</v>
      </c>
      <c r="E38" s="1517"/>
      <c r="F38" s="1517"/>
      <c r="G38" s="1517"/>
      <c r="H38" s="1517"/>
      <c r="I38" s="1517"/>
      <c r="J38" s="1517"/>
      <c r="K38" s="1517"/>
      <c r="L38" s="1517"/>
      <c r="M38" s="1517"/>
      <c r="N38" s="1517"/>
      <c r="O38" s="1517"/>
      <c r="P38" s="1517"/>
      <c r="Q38" s="1517"/>
      <c r="R38" s="1517"/>
      <c r="S38" s="1517"/>
      <c r="T38" s="1518"/>
    </row>
    <row r="39" spans="2:20" s="6" customFormat="1" ht="15.5" x14ac:dyDescent="0.3">
      <c r="B39" s="394">
        <v>10</v>
      </c>
      <c r="C39" s="57" t="s">
        <v>208</v>
      </c>
      <c r="D39" s="167" t="s">
        <v>117</v>
      </c>
      <c r="E39" s="1517"/>
      <c r="F39" s="1517"/>
      <c r="G39" s="1517"/>
      <c r="H39" s="1517"/>
      <c r="I39" s="1517"/>
      <c r="J39" s="1517"/>
      <c r="K39" s="1517"/>
      <c r="L39" s="1517"/>
      <c r="M39" s="1517"/>
      <c r="N39" s="1517"/>
      <c r="O39" s="1517"/>
      <c r="P39" s="1517"/>
      <c r="Q39" s="1517"/>
      <c r="R39" s="1517"/>
      <c r="S39" s="1517"/>
      <c r="T39" s="1518"/>
    </row>
    <row r="40" spans="2:20" s="6" customFormat="1" ht="15.5" x14ac:dyDescent="0.3">
      <c r="B40" s="394"/>
      <c r="C40" s="393" t="s">
        <v>827</v>
      </c>
      <c r="D40" s="159" t="s">
        <v>117</v>
      </c>
      <c r="E40" s="1517"/>
      <c r="F40" s="1517"/>
      <c r="G40" s="1517"/>
      <c r="H40" s="1517"/>
      <c r="I40" s="1517"/>
      <c r="J40" s="1517"/>
      <c r="K40" s="1517"/>
      <c r="L40" s="1517"/>
      <c r="M40" s="1517"/>
      <c r="N40" s="1517"/>
      <c r="O40" s="1517"/>
      <c r="P40" s="1517"/>
      <c r="Q40" s="1517"/>
      <c r="R40" s="1517"/>
      <c r="S40" s="1517"/>
      <c r="T40" s="1518"/>
    </row>
    <row r="41" spans="2:20" s="6" customFormat="1" x14ac:dyDescent="0.3">
      <c r="B41" s="167"/>
      <c r="C41" s="59"/>
      <c r="D41" s="159"/>
      <c r="E41" s="1517"/>
      <c r="F41" s="1517"/>
      <c r="G41" s="1517"/>
      <c r="H41" s="1517"/>
      <c r="I41" s="1517"/>
      <c r="J41" s="1517"/>
      <c r="K41" s="1517"/>
      <c r="L41" s="1517"/>
      <c r="M41" s="1517"/>
      <c r="N41" s="1517"/>
      <c r="O41" s="1517"/>
      <c r="P41" s="1517"/>
      <c r="Q41" s="1517"/>
      <c r="R41" s="1517"/>
      <c r="S41" s="1517"/>
      <c r="T41" s="1518"/>
    </row>
    <row r="42" spans="2:20" s="6" customFormat="1" x14ac:dyDescent="0.3">
      <c r="B42" s="161" t="s">
        <v>184</v>
      </c>
      <c r="C42" s="357" t="s">
        <v>828</v>
      </c>
      <c r="D42" s="144"/>
      <c r="E42" s="1517"/>
      <c r="F42" s="1517"/>
      <c r="G42" s="1517"/>
      <c r="H42" s="1517"/>
      <c r="I42" s="1517"/>
      <c r="J42" s="1517"/>
      <c r="K42" s="1517"/>
      <c r="L42" s="1517"/>
      <c r="M42" s="1517"/>
      <c r="N42" s="1517"/>
      <c r="O42" s="1517"/>
      <c r="P42" s="1517"/>
      <c r="Q42" s="1517"/>
      <c r="R42" s="1517"/>
      <c r="S42" s="1517"/>
      <c r="T42" s="1518"/>
    </row>
    <row r="43" spans="2:20" s="6" customFormat="1" x14ac:dyDescent="0.3">
      <c r="B43" s="141">
        <v>1</v>
      </c>
      <c r="C43" s="57" t="s">
        <v>145</v>
      </c>
      <c r="D43" s="144" t="s">
        <v>832</v>
      </c>
      <c r="E43" s="1517"/>
      <c r="F43" s="1517"/>
      <c r="G43" s="1517"/>
      <c r="H43" s="1517"/>
      <c r="I43" s="1517"/>
      <c r="J43" s="1517"/>
      <c r="K43" s="1517"/>
      <c r="L43" s="1517"/>
      <c r="M43" s="1517"/>
      <c r="N43" s="1517"/>
      <c r="O43" s="1517"/>
      <c r="P43" s="1517"/>
      <c r="Q43" s="1517"/>
      <c r="R43" s="1517"/>
      <c r="S43" s="1517"/>
      <c r="T43" s="1518"/>
    </row>
    <row r="44" spans="2:20" s="6" customFormat="1" x14ac:dyDescent="0.3">
      <c r="B44" s="141">
        <v>2</v>
      </c>
      <c r="C44" s="57" t="s">
        <v>813</v>
      </c>
      <c r="D44" s="144" t="s">
        <v>832</v>
      </c>
      <c r="E44" s="1517"/>
      <c r="F44" s="1517"/>
      <c r="G44" s="1517"/>
      <c r="H44" s="1517"/>
      <c r="I44" s="1517"/>
      <c r="J44" s="1517"/>
      <c r="K44" s="1517"/>
      <c r="L44" s="1517"/>
      <c r="M44" s="1517"/>
      <c r="N44" s="1517"/>
      <c r="O44" s="1517"/>
      <c r="P44" s="1517"/>
      <c r="Q44" s="1517"/>
      <c r="R44" s="1517"/>
      <c r="S44" s="1517"/>
      <c r="T44" s="1518"/>
    </row>
    <row r="45" spans="2:20" s="6" customFormat="1" x14ac:dyDescent="0.3">
      <c r="B45" s="141">
        <v>3</v>
      </c>
      <c r="C45" s="57" t="s">
        <v>146</v>
      </c>
      <c r="D45" s="144" t="s">
        <v>832</v>
      </c>
      <c r="E45" s="1517"/>
      <c r="F45" s="1517"/>
      <c r="G45" s="1517"/>
      <c r="H45" s="1517"/>
      <c r="I45" s="1517"/>
      <c r="J45" s="1517"/>
      <c r="K45" s="1517"/>
      <c r="L45" s="1517"/>
      <c r="M45" s="1517"/>
      <c r="N45" s="1517"/>
      <c r="O45" s="1517"/>
      <c r="P45" s="1517"/>
      <c r="Q45" s="1517"/>
      <c r="R45" s="1517"/>
      <c r="S45" s="1517"/>
      <c r="T45" s="1518"/>
    </row>
    <row r="46" spans="2:20" s="6" customFormat="1" x14ac:dyDescent="0.3">
      <c r="B46" s="141">
        <v>4</v>
      </c>
      <c r="C46" s="57" t="s">
        <v>147</v>
      </c>
      <c r="D46" s="144" t="s">
        <v>832</v>
      </c>
      <c r="E46" s="1517"/>
      <c r="F46" s="1517"/>
      <c r="G46" s="1517"/>
      <c r="H46" s="1517"/>
      <c r="I46" s="1517"/>
      <c r="J46" s="1517"/>
      <c r="K46" s="1517"/>
      <c r="L46" s="1517"/>
      <c r="M46" s="1517"/>
      <c r="N46" s="1517"/>
      <c r="O46" s="1517"/>
      <c r="P46" s="1517"/>
      <c r="Q46" s="1517"/>
      <c r="R46" s="1517"/>
      <c r="S46" s="1517"/>
      <c r="T46" s="1518"/>
    </row>
    <row r="47" spans="2:20" s="6" customFormat="1" x14ac:dyDescent="0.3">
      <c r="B47" s="141">
        <v>5</v>
      </c>
      <c r="C47" s="57" t="s">
        <v>148</v>
      </c>
      <c r="D47" s="144" t="s">
        <v>832</v>
      </c>
      <c r="E47" s="1517"/>
      <c r="F47" s="1517"/>
      <c r="G47" s="1517"/>
      <c r="H47" s="1517"/>
      <c r="I47" s="1517"/>
      <c r="J47" s="1517"/>
      <c r="K47" s="1517"/>
      <c r="L47" s="1517"/>
      <c r="M47" s="1517"/>
      <c r="N47" s="1517"/>
      <c r="O47" s="1517"/>
      <c r="P47" s="1517"/>
      <c r="Q47" s="1517"/>
      <c r="R47" s="1517"/>
      <c r="S47" s="1517"/>
      <c r="T47" s="1518"/>
    </row>
    <row r="48" spans="2:20" s="6" customFormat="1" x14ac:dyDescent="0.3">
      <c r="B48" s="141">
        <v>6</v>
      </c>
      <c r="C48" s="57" t="s">
        <v>149</v>
      </c>
      <c r="D48" s="144" t="s">
        <v>832</v>
      </c>
      <c r="E48" s="1517"/>
      <c r="F48" s="1517"/>
      <c r="G48" s="1517"/>
      <c r="H48" s="1517"/>
      <c r="I48" s="1517"/>
      <c r="J48" s="1517"/>
      <c r="K48" s="1517"/>
      <c r="L48" s="1517"/>
      <c r="M48" s="1517"/>
      <c r="N48" s="1517"/>
      <c r="O48" s="1517"/>
      <c r="P48" s="1517"/>
      <c r="Q48" s="1517"/>
      <c r="R48" s="1517"/>
      <c r="S48" s="1517"/>
      <c r="T48" s="1518"/>
    </row>
    <row r="49" spans="2:20" s="6" customFormat="1" x14ac:dyDescent="0.3">
      <c r="B49" s="141">
        <v>7</v>
      </c>
      <c r="C49" s="57" t="s">
        <v>816</v>
      </c>
      <c r="D49" s="144" t="s">
        <v>832</v>
      </c>
      <c r="E49" s="1517"/>
      <c r="F49" s="1517"/>
      <c r="G49" s="1517"/>
      <c r="H49" s="1517"/>
      <c r="I49" s="1517"/>
      <c r="J49" s="1517"/>
      <c r="K49" s="1517"/>
      <c r="L49" s="1517"/>
      <c r="M49" s="1517"/>
      <c r="N49" s="1517"/>
      <c r="O49" s="1517"/>
      <c r="P49" s="1517"/>
      <c r="Q49" s="1517"/>
      <c r="R49" s="1517"/>
      <c r="S49" s="1517"/>
      <c r="T49" s="1518"/>
    </row>
    <row r="50" spans="2:20" s="6" customFormat="1" x14ac:dyDescent="0.3">
      <c r="B50" s="141">
        <v>8</v>
      </c>
      <c r="C50" s="57" t="s">
        <v>817</v>
      </c>
      <c r="D50" s="144" t="s">
        <v>832</v>
      </c>
      <c r="E50" s="1517"/>
      <c r="F50" s="1517"/>
      <c r="G50" s="1517"/>
      <c r="H50" s="1517"/>
      <c r="I50" s="1517"/>
      <c r="J50" s="1517"/>
      <c r="K50" s="1517"/>
      <c r="L50" s="1517"/>
      <c r="M50" s="1517"/>
      <c r="N50" s="1517"/>
      <c r="O50" s="1517"/>
      <c r="P50" s="1517"/>
      <c r="Q50" s="1517"/>
      <c r="R50" s="1517"/>
      <c r="S50" s="1517"/>
      <c r="T50" s="1518"/>
    </row>
    <row r="51" spans="2:20" s="6" customFormat="1" x14ac:dyDescent="0.3">
      <c r="B51" s="141">
        <v>9</v>
      </c>
      <c r="C51" s="57" t="s">
        <v>818</v>
      </c>
      <c r="D51" s="144" t="s">
        <v>832</v>
      </c>
      <c r="E51" s="1517"/>
      <c r="F51" s="1517"/>
      <c r="G51" s="1517"/>
      <c r="H51" s="1517"/>
      <c r="I51" s="1517"/>
      <c r="J51" s="1517"/>
      <c r="K51" s="1517"/>
      <c r="L51" s="1517"/>
      <c r="M51" s="1517"/>
      <c r="N51" s="1517"/>
      <c r="O51" s="1517"/>
      <c r="P51" s="1517"/>
      <c r="Q51" s="1517"/>
      <c r="R51" s="1517"/>
      <c r="S51" s="1517"/>
      <c r="T51" s="1518"/>
    </row>
    <row r="52" spans="2:20" s="6" customFormat="1" x14ac:dyDescent="0.3">
      <c r="B52" s="141">
        <v>10</v>
      </c>
      <c r="C52" s="57" t="s">
        <v>819</v>
      </c>
      <c r="D52" s="144" t="s">
        <v>832</v>
      </c>
      <c r="E52" s="1517"/>
      <c r="F52" s="1517"/>
      <c r="G52" s="1517"/>
      <c r="H52" s="1517"/>
      <c r="I52" s="1517"/>
      <c r="J52" s="1517"/>
      <c r="K52" s="1517"/>
      <c r="L52" s="1517"/>
      <c r="M52" s="1517"/>
      <c r="N52" s="1517"/>
      <c r="O52" s="1517"/>
      <c r="P52" s="1517"/>
      <c r="Q52" s="1517"/>
      <c r="R52" s="1517"/>
      <c r="S52" s="1517"/>
      <c r="T52" s="1518"/>
    </row>
    <row r="53" spans="2:20" s="6" customFormat="1" x14ac:dyDescent="0.3">
      <c r="B53" s="141">
        <v>11</v>
      </c>
      <c r="C53" s="57" t="s">
        <v>820</v>
      </c>
      <c r="D53" s="144" t="s">
        <v>832</v>
      </c>
      <c r="E53" s="1517"/>
      <c r="F53" s="1517"/>
      <c r="G53" s="1517"/>
      <c r="H53" s="1517"/>
      <c r="I53" s="1517"/>
      <c r="J53" s="1517"/>
      <c r="K53" s="1517"/>
      <c r="L53" s="1517"/>
      <c r="M53" s="1517"/>
      <c r="N53" s="1517"/>
      <c r="O53" s="1517"/>
      <c r="P53" s="1517"/>
      <c r="Q53" s="1517"/>
      <c r="R53" s="1517"/>
      <c r="S53" s="1517"/>
      <c r="T53" s="1518"/>
    </row>
    <row r="54" spans="2:20" s="6" customFormat="1" x14ac:dyDescent="0.3">
      <c r="B54" s="141">
        <v>12</v>
      </c>
      <c r="C54" s="57" t="s">
        <v>150</v>
      </c>
      <c r="D54" s="144" t="s">
        <v>832</v>
      </c>
      <c r="E54" s="1517"/>
      <c r="F54" s="1517"/>
      <c r="G54" s="1517"/>
      <c r="H54" s="1517"/>
      <c r="I54" s="1517"/>
      <c r="J54" s="1517"/>
      <c r="K54" s="1517"/>
      <c r="L54" s="1517"/>
      <c r="M54" s="1517"/>
      <c r="N54" s="1517"/>
      <c r="O54" s="1517"/>
      <c r="P54" s="1517"/>
      <c r="Q54" s="1517"/>
      <c r="R54" s="1517"/>
      <c r="S54" s="1517"/>
      <c r="T54" s="1518"/>
    </row>
    <row r="55" spans="2:20" s="6" customFormat="1" x14ac:dyDescent="0.3">
      <c r="B55" s="141"/>
      <c r="C55" s="357" t="s">
        <v>829</v>
      </c>
      <c r="D55" s="145" t="s">
        <v>832</v>
      </c>
      <c r="E55" s="1517"/>
      <c r="F55" s="1517"/>
      <c r="G55" s="1517"/>
      <c r="H55" s="1517"/>
      <c r="I55" s="1517"/>
      <c r="J55" s="1517"/>
      <c r="K55" s="1517"/>
      <c r="L55" s="1517"/>
      <c r="M55" s="1517"/>
      <c r="N55" s="1517"/>
      <c r="O55" s="1517"/>
      <c r="P55" s="1517"/>
      <c r="Q55" s="1517"/>
      <c r="R55" s="1517"/>
      <c r="S55" s="1517"/>
      <c r="T55" s="1518"/>
    </row>
    <row r="56" spans="2:20" s="6" customFormat="1" x14ac:dyDescent="0.3">
      <c r="B56" s="141"/>
      <c r="C56" s="57"/>
      <c r="D56" s="144"/>
      <c r="E56" s="1517"/>
      <c r="F56" s="1517"/>
      <c r="G56" s="1517"/>
      <c r="H56" s="1517"/>
      <c r="I56" s="1517"/>
      <c r="J56" s="1517"/>
      <c r="K56" s="1517"/>
      <c r="L56" s="1517"/>
      <c r="M56" s="1517"/>
      <c r="N56" s="1517"/>
      <c r="O56" s="1517"/>
      <c r="P56" s="1517"/>
      <c r="Q56" s="1517"/>
      <c r="R56" s="1517"/>
      <c r="S56" s="1517"/>
      <c r="T56" s="1518"/>
    </row>
    <row r="57" spans="2:20" s="6" customFormat="1" x14ac:dyDescent="0.3">
      <c r="B57" s="161" t="s">
        <v>833</v>
      </c>
      <c r="C57" s="357" t="s">
        <v>830</v>
      </c>
      <c r="D57" s="144"/>
      <c r="E57" s="1517"/>
      <c r="F57" s="1517"/>
      <c r="G57" s="1517"/>
      <c r="H57" s="1517"/>
      <c r="I57" s="1517"/>
      <c r="J57" s="1517"/>
      <c r="K57" s="1517"/>
      <c r="L57" s="1517"/>
      <c r="M57" s="1517"/>
      <c r="N57" s="1517"/>
      <c r="O57" s="1517"/>
      <c r="P57" s="1517"/>
      <c r="Q57" s="1517"/>
      <c r="R57" s="1517"/>
      <c r="S57" s="1517"/>
      <c r="T57" s="1518"/>
    </row>
    <row r="58" spans="2:20" s="6" customFormat="1" x14ac:dyDescent="0.3">
      <c r="B58" s="141">
        <v>1</v>
      </c>
      <c r="C58" s="57" t="s">
        <v>145</v>
      </c>
      <c r="D58" s="144" t="s">
        <v>832</v>
      </c>
      <c r="E58" s="1517"/>
      <c r="F58" s="1517"/>
      <c r="G58" s="1517"/>
      <c r="H58" s="1517"/>
      <c r="I58" s="1517"/>
      <c r="J58" s="1517"/>
      <c r="K58" s="1517"/>
      <c r="L58" s="1517"/>
      <c r="M58" s="1517"/>
      <c r="N58" s="1517"/>
      <c r="O58" s="1517"/>
      <c r="P58" s="1517"/>
      <c r="Q58" s="1517"/>
      <c r="R58" s="1517"/>
      <c r="S58" s="1517"/>
      <c r="T58" s="1518"/>
    </row>
    <row r="59" spans="2:20" s="6" customFormat="1" x14ac:dyDescent="0.3">
      <c r="B59" s="141">
        <v>2</v>
      </c>
      <c r="C59" s="57" t="s">
        <v>813</v>
      </c>
      <c r="D59" s="144" t="s">
        <v>832</v>
      </c>
      <c r="E59" s="1517"/>
      <c r="F59" s="1517"/>
      <c r="G59" s="1517"/>
      <c r="H59" s="1517"/>
      <c r="I59" s="1517"/>
      <c r="J59" s="1517"/>
      <c r="K59" s="1517"/>
      <c r="L59" s="1517"/>
      <c r="M59" s="1517"/>
      <c r="N59" s="1517"/>
      <c r="O59" s="1517"/>
      <c r="P59" s="1517"/>
      <c r="Q59" s="1517"/>
      <c r="R59" s="1517"/>
      <c r="S59" s="1517"/>
      <c r="T59" s="1518"/>
    </row>
    <row r="60" spans="2:20" s="6" customFormat="1" x14ac:dyDescent="0.3">
      <c r="B60" s="141">
        <v>3</v>
      </c>
      <c r="C60" s="57" t="s">
        <v>146</v>
      </c>
      <c r="D60" s="144" t="s">
        <v>832</v>
      </c>
      <c r="E60" s="1517"/>
      <c r="F60" s="1517"/>
      <c r="G60" s="1517"/>
      <c r="H60" s="1517"/>
      <c r="I60" s="1517"/>
      <c r="J60" s="1517"/>
      <c r="K60" s="1517"/>
      <c r="L60" s="1517"/>
      <c r="M60" s="1517"/>
      <c r="N60" s="1517"/>
      <c r="O60" s="1517"/>
      <c r="P60" s="1517"/>
      <c r="Q60" s="1517"/>
      <c r="R60" s="1517"/>
      <c r="S60" s="1517"/>
      <c r="T60" s="1518"/>
    </row>
    <row r="61" spans="2:20" s="6" customFormat="1" x14ac:dyDescent="0.3">
      <c r="B61" s="141">
        <v>4</v>
      </c>
      <c r="C61" s="57" t="s">
        <v>147</v>
      </c>
      <c r="D61" s="144" t="s">
        <v>832</v>
      </c>
      <c r="E61" s="1517"/>
      <c r="F61" s="1517"/>
      <c r="G61" s="1517"/>
      <c r="H61" s="1517"/>
      <c r="I61" s="1517"/>
      <c r="J61" s="1517"/>
      <c r="K61" s="1517"/>
      <c r="L61" s="1517"/>
      <c r="M61" s="1517"/>
      <c r="N61" s="1517"/>
      <c r="O61" s="1517"/>
      <c r="P61" s="1517"/>
      <c r="Q61" s="1517"/>
      <c r="R61" s="1517"/>
      <c r="S61" s="1517"/>
      <c r="T61" s="1518"/>
    </row>
    <row r="62" spans="2:20" s="6" customFormat="1" x14ac:dyDescent="0.3">
      <c r="B62" s="141">
        <v>5</v>
      </c>
      <c r="C62" s="57" t="s">
        <v>148</v>
      </c>
      <c r="D62" s="144" t="s">
        <v>832</v>
      </c>
      <c r="E62" s="1517"/>
      <c r="F62" s="1517"/>
      <c r="G62" s="1517"/>
      <c r="H62" s="1517"/>
      <c r="I62" s="1517"/>
      <c r="J62" s="1517"/>
      <c r="K62" s="1517"/>
      <c r="L62" s="1517"/>
      <c r="M62" s="1517"/>
      <c r="N62" s="1517"/>
      <c r="O62" s="1517"/>
      <c r="P62" s="1517"/>
      <c r="Q62" s="1517"/>
      <c r="R62" s="1517"/>
      <c r="S62" s="1517"/>
      <c r="T62" s="1518"/>
    </row>
    <row r="63" spans="2:20" s="6" customFormat="1" x14ac:dyDescent="0.3">
      <c r="B63" s="141">
        <v>6</v>
      </c>
      <c r="C63" s="57" t="s">
        <v>149</v>
      </c>
      <c r="D63" s="144" t="s">
        <v>832</v>
      </c>
      <c r="E63" s="1517"/>
      <c r="F63" s="1517"/>
      <c r="G63" s="1517"/>
      <c r="H63" s="1517"/>
      <c r="I63" s="1517"/>
      <c r="J63" s="1517"/>
      <c r="K63" s="1517"/>
      <c r="L63" s="1517"/>
      <c r="M63" s="1517"/>
      <c r="N63" s="1517"/>
      <c r="O63" s="1517"/>
      <c r="P63" s="1517"/>
      <c r="Q63" s="1517"/>
      <c r="R63" s="1517"/>
      <c r="S63" s="1517"/>
      <c r="T63" s="1518"/>
    </row>
    <row r="64" spans="2:20" s="6" customFormat="1" x14ac:dyDescent="0.3">
      <c r="B64" s="141">
        <v>7</v>
      </c>
      <c r="C64" s="57" t="s">
        <v>816</v>
      </c>
      <c r="D64" s="144" t="s">
        <v>832</v>
      </c>
      <c r="E64" s="1517"/>
      <c r="F64" s="1517"/>
      <c r="G64" s="1517"/>
      <c r="H64" s="1517"/>
      <c r="I64" s="1517"/>
      <c r="J64" s="1517"/>
      <c r="K64" s="1517"/>
      <c r="L64" s="1517"/>
      <c r="M64" s="1517"/>
      <c r="N64" s="1517"/>
      <c r="O64" s="1517"/>
      <c r="P64" s="1517"/>
      <c r="Q64" s="1517"/>
      <c r="R64" s="1517"/>
      <c r="S64" s="1517"/>
      <c r="T64" s="1518"/>
    </row>
    <row r="65" spans="2:20" s="6" customFormat="1" x14ac:dyDescent="0.3">
      <c r="B65" s="141">
        <v>8</v>
      </c>
      <c r="C65" s="57" t="s">
        <v>817</v>
      </c>
      <c r="D65" s="144" t="s">
        <v>832</v>
      </c>
      <c r="E65" s="1517"/>
      <c r="F65" s="1517"/>
      <c r="G65" s="1517"/>
      <c r="H65" s="1517"/>
      <c r="I65" s="1517"/>
      <c r="J65" s="1517"/>
      <c r="K65" s="1517"/>
      <c r="L65" s="1517"/>
      <c r="M65" s="1517"/>
      <c r="N65" s="1517"/>
      <c r="O65" s="1517"/>
      <c r="P65" s="1517"/>
      <c r="Q65" s="1517"/>
      <c r="R65" s="1517"/>
      <c r="S65" s="1517"/>
      <c r="T65" s="1518"/>
    </row>
    <row r="66" spans="2:20" s="6" customFormat="1" x14ac:dyDescent="0.3">
      <c r="B66" s="141">
        <v>9</v>
      </c>
      <c r="C66" s="57" t="s">
        <v>818</v>
      </c>
      <c r="D66" s="144" t="s">
        <v>832</v>
      </c>
      <c r="E66" s="1517"/>
      <c r="F66" s="1517"/>
      <c r="G66" s="1517"/>
      <c r="H66" s="1517"/>
      <c r="I66" s="1517"/>
      <c r="J66" s="1517"/>
      <c r="K66" s="1517"/>
      <c r="L66" s="1517"/>
      <c r="M66" s="1517"/>
      <c r="N66" s="1517"/>
      <c r="O66" s="1517"/>
      <c r="P66" s="1517"/>
      <c r="Q66" s="1517"/>
      <c r="R66" s="1517"/>
      <c r="S66" s="1517"/>
      <c r="T66" s="1518"/>
    </row>
    <row r="67" spans="2:20" s="6" customFormat="1" x14ac:dyDescent="0.3">
      <c r="B67" s="141">
        <v>10</v>
      </c>
      <c r="C67" s="57" t="s">
        <v>819</v>
      </c>
      <c r="D67" s="144" t="s">
        <v>832</v>
      </c>
      <c r="E67" s="1517"/>
      <c r="F67" s="1517"/>
      <c r="G67" s="1517"/>
      <c r="H67" s="1517"/>
      <c r="I67" s="1517"/>
      <c r="J67" s="1517"/>
      <c r="K67" s="1517"/>
      <c r="L67" s="1517"/>
      <c r="M67" s="1517"/>
      <c r="N67" s="1517"/>
      <c r="O67" s="1517"/>
      <c r="P67" s="1517"/>
      <c r="Q67" s="1517"/>
      <c r="R67" s="1517"/>
      <c r="S67" s="1517"/>
      <c r="T67" s="1518"/>
    </row>
    <row r="68" spans="2:20" s="6" customFormat="1" x14ac:dyDescent="0.3">
      <c r="B68" s="141">
        <v>11</v>
      </c>
      <c r="C68" s="57" t="s">
        <v>820</v>
      </c>
      <c r="D68" s="144" t="s">
        <v>832</v>
      </c>
      <c r="E68" s="1517"/>
      <c r="F68" s="1517"/>
      <c r="G68" s="1517"/>
      <c r="H68" s="1517"/>
      <c r="I68" s="1517"/>
      <c r="J68" s="1517"/>
      <c r="K68" s="1517"/>
      <c r="L68" s="1517"/>
      <c r="M68" s="1517"/>
      <c r="N68" s="1517"/>
      <c r="O68" s="1517"/>
      <c r="P68" s="1517"/>
      <c r="Q68" s="1517"/>
      <c r="R68" s="1517"/>
      <c r="S68" s="1517"/>
      <c r="T68" s="1518"/>
    </row>
    <row r="69" spans="2:20" s="6" customFormat="1" x14ac:dyDescent="0.3">
      <c r="B69" s="141">
        <v>12</v>
      </c>
      <c r="C69" s="57" t="s">
        <v>150</v>
      </c>
      <c r="D69" s="144" t="s">
        <v>832</v>
      </c>
      <c r="E69" s="1517"/>
      <c r="F69" s="1517"/>
      <c r="G69" s="1517"/>
      <c r="H69" s="1517"/>
      <c r="I69" s="1517"/>
      <c r="J69" s="1517"/>
      <c r="K69" s="1517"/>
      <c r="L69" s="1517"/>
      <c r="M69" s="1517"/>
      <c r="N69" s="1517"/>
      <c r="O69" s="1517"/>
      <c r="P69" s="1517"/>
      <c r="Q69" s="1517"/>
      <c r="R69" s="1517"/>
      <c r="S69" s="1517"/>
      <c r="T69" s="1518"/>
    </row>
    <row r="70" spans="2:20" s="6" customFormat="1" x14ac:dyDescent="0.3">
      <c r="B70" s="141"/>
      <c r="C70" s="357" t="s">
        <v>831</v>
      </c>
      <c r="D70" s="145" t="s">
        <v>832</v>
      </c>
      <c r="E70" s="1519"/>
      <c r="F70" s="1519"/>
      <c r="G70" s="1519"/>
      <c r="H70" s="1519"/>
      <c r="I70" s="1519"/>
      <c r="J70" s="1519"/>
      <c r="K70" s="1519"/>
      <c r="L70" s="1519"/>
      <c r="M70" s="1519"/>
      <c r="N70" s="1519"/>
      <c r="O70" s="1519"/>
      <c r="P70" s="1519"/>
      <c r="Q70" s="1519"/>
      <c r="R70" s="1519"/>
      <c r="S70" s="1519"/>
      <c r="T70" s="1520"/>
    </row>
    <row r="71" spans="2:20" s="1" customFormat="1" x14ac:dyDescent="0.3">
      <c r="B71" s="158" t="s">
        <v>152</v>
      </c>
      <c r="C71" s="10"/>
      <c r="D71" s="10"/>
      <c r="E71" s="3"/>
      <c r="F71" s="3"/>
      <c r="G71" s="3"/>
      <c r="H71" s="3"/>
      <c r="I71" s="121"/>
      <c r="J71" s="121"/>
      <c r="K71" s="121"/>
      <c r="L71" s="121"/>
      <c r="M71" s="121"/>
      <c r="N71" s="4"/>
      <c r="O71" s="4"/>
      <c r="P71" s="4"/>
      <c r="Q71" s="4"/>
      <c r="R71" s="4"/>
      <c r="S71" s="4"/>
      <c r="T71" s="4"/>
    </row>
    <row r="72" spans="2:20" s="1" customFormat="1" x14ac:dyDescent="0.3">
      <c r="B72" s="157" t="s">
        <v>699</v>
      </c>
      <c r="C72" s="157"/>
      <c r="D72" s="391"/>
      <c r="E72" s="391"/>
      <c r="F72" s="391"/>
      <c r="G72" s="391"/>
      <c r="H72" s="391"/>
      <c r="I72" s="121"/>
      <c r="J72" s="121"/>
      <c r="K72" s="121"/>
      <c r="L72" s="121"/>
      <c r="M72" s="121"/>
      <c r="N72" s="4"/>
      <c r="O72" s="4"/>
      <c r="P72" s="4"/>
      <c r="Q72" s="4"/>
      <c r="R72" s="4"/>
      <c r="S72" s="4"/>
      <c r="T72" s="4"/>
    </row>
    <row r="73" spans="2:20" s="1" customFormat="1" ht="18" customHeight="1" x14ac:dyDescent="0.3">
      <c r="B73" s="40" t="s">
        <v>466</v>
      </c>
      <c r="C73" s="54"/>
      <c r="D73" s="54"/>
      <c r="E73" s="428"/>
      <c r="F73" s="428"/>
      <c r="G73" s="428"/>
      <c r="H73" s="428"/>
      <c r="I73" s="2"/>
      <c r="J73" s="2"/>
      <c r="K73" s="2"/>
      <c r="L73" s="2"/>
      <c r="M73" s="2"/>
      <c r="N73" s="2"/>
      <c r="O73" s="2"/>
      <c r="P73" s="2"/>
      <c r="Q73" s="2"/>
      <c r="R73" s="2"/>
      <c r="S73" s="2"/>
      <c r="T73" s="2"/>
    </row>
    <row r="74" spans="2:20" x14ac:dyDescent="0.3">
      <c r="B74" s="7"/>
      <c r="C74" s="7"/>
      <c r="D74" s="7"/>
      <c r="E74" s="7"/>
      <c r="F74" s="7"/>
      <c r="G74" s="7"/>
      <c r="H74" s="7"/>
      <c r="I74" s="7"/>
      <c r="J74" s="7"/>
      <c r="K74" s="7"/>
      <c r="L74" s="7"/>
      <c r="M74" s="7"/>
      <c r="N74" s="7"/>
      <c r="O74" s="7"/>
      <c r="P74" s="1"/>
      <c r="Q74" s="1"/>
      <c r="R74" s="1"/>
      <c r="S74" s="1"/>
      <c r="T74" s="1"/>
    </row>
    <row r="75" spans="2:20" x14ac:dyDescent="0.3">
      <c r="B75" s="7"/>
      <c r="C75" s="7"/>
      <c r="D75" s="7"/>
      <c r="E75" s="7"/>
      <c r="F75" s="7"/>
      <c r="G75" s="7"/>
      <c r="H75" s="7"/>
      <c r="I75" s="47"/>
      <c r="J75" s="47"/>
      <c r="K75" s="47"/>
      <c r="L75" s="11"/>
      <c r="M75" s="11"/>
      <c r="N75" s="7"/>
      <c r="O75" s="7"/>
      <c r="P75" s="1"/>
      <c r="Q75" s="1"/>
      <c r="R75" s="1"/>
      <c r="S75" s="1"/>
      <c r="T75" s="1"/>
    </row>
    <row r="76" spans="2:20" x14ac:dyDescent="0.3">
      <c r="B76" s="7"/>
      <c r="C76" s="7"/>
      <c r="D76" s="7"/>
      <c r="E76" s="7"/>
      <c r="F76" s="7"/>
      <c r="G76" s="7"/>
      <c r="H76" s="7"/>
      <c r="I76" s="54"/>
      <c r="J76" s="54"/>
      <c r="K76" s="54"/>
      <c r="L76" s="54"/>
      <c r="M76" s="54"/>
      <c r="N76" s="7"/>
      <c r="O76" s="7"/>
      <c r="P76" s="1"/>
      <c r="Q76" s="1"/>
      <c r="R76" s="1"/>
      <c r="S76" s="1"/>
      <c r="T76" s="1"/>
    </row>
    <row r="77" spans="2:20" x14ac:dyDescent="0.3">
      <c r="B77" s="7"/>
      <c r="C77" s="7"/>
      <c r="D77" s="7"/>
      <c r="E77" s="7"/>
      <c r="F77" s="7"/>
      <c r="G77" s="7"/>
      <c r="H77" s="7"/>
      <c r="I77" s="7"/>
      <c r="J77" s="7"/>
      <c r="K77" s="7"/>
      <c r="L77" s="7"/>
      <c r="M77" s="7"/>
      <c r="N77" s="7"/>
      <c r="O77" s="7"/>
    </row>
    <row r="78" spans="2:20" x14ac:dyDescent="0.3">
      <c r="I78" s="7"/>
      <c r="J78" s="7"/>
      <c r="K78" s="7"/>
      <c r="L78" s="7"/>
      <c r="M78" s="7"/>
      <c r="N78" s="7"/>
      <c r="O78" s="7"/>
    </row>
    <row r="79" spans="2:20" x14ac:dyDescent="0.3">
      <c r="I79" s="7"/>
      <c r="J79" s="7"/>
      <c r="K79" s="7"/>
      <c r="L79" s="7"/>
      <c r="M79" s="55"/>
      <c r="N79" s="7"/>
      <c r="O79" s="7"/>
    </row>
    <row r="80" spans="2:20" x14ac:dyDescent="0.3">
      <c r="I80" s="7"/>
      <c r="J80" s="7"/>
      <c r="K80" s="7"/>
      <c r="L80" s="7"/>
      <c r="M80" s="7"/>
      <c r="N80" s="7"/>
      <c r="O80" s="7"/>
    </row>
  </sheetData>
  <mergeCells count="12">
    <mergeCell ref="U7:U9"/>
    <mergeCell ref="E11:T70"/>
    <mergeCell ref="B2:T2"/>
    <mergeCell ref="B3:T3"/>
    <mergeCell ref="B4:T4"/>
    <mergeCell ref="B5:T5"/>
    <mergeCell ref="B7:B9"/>
    <mergeCell ref="C7:C9"/>
    <mergeCell ref="D7:D9"/>
    <mergeCell ref="H7:J7"/>
    <mergeCell ref="K7:O7"/>
    <mergeCell ref="E7:G7"/>
  </mergeCells>
  <pageMargins left="0.75" right="0.75" top="1" bottom="1" header="0.5" footer="0.5"/>
  <pageSetup paperSize="9" scale="41"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T75"/>
  <sheetViews>
    <sheetView showGridLines="0" view="pageBreakPreview" topLeftCell="B1" zoomScale="60" zoomScaleNormal="75" workbookViewId="0">
      <selection activeCell="E9" sqref="A9:XFD9"/>
    </sheetView>
  </sheetViews>
  <sheetFormatPr defaultColWidth="9.36328125" defaultRowHeight="14" x14ac:dyDescent="0.3"/>
  <cols>
    <col min="1" max="1" width="3.36328125" style="5" customWidth="1"/>
    <col min="2" max="2" width="8.36328125" style="91" customWidth="1"/>
    <col min="3" max="3" width="42" style="5" customWidth="1"/>
    <col min="4" max="4" width="13.54296875" style="5" customWidth="1"/>
    <col min="5" max="5" width="18.36328125" style="5" customWidth="1"/>
    <col min="6" max="6" width="20.36328125" style="5" customWidth="1"/>
    <col min="7" max="7" width="17.36328125" style="5" customWidth="1"/>
    <col min="8" max="8" width="19.6328125" style="5" customWidth="1"/>
    <col min="9" max="9" width="18.6328125" style="5" customWidth="1"/>
    <col min="10" max="10" width="20.36328125" style="5" customWidth="1"/>
    <col min="11" max="11" width="18.6328125" style="5" customWidth="1"/>
    <col min="12" max="12" width="19" style="5" customWidth="1"/>
    <col min="13" max="15" width="18.6328125" style="5" customWidth="1"/>
    <col min="16" max="16384" width="9.36328125" style="5"/>
  </cols>
  <sheetData>
    <row r="2" spans="2:15" x14ac:dyDescent="0.3">
      <c r="C2" s="119"/>
      <c r="D2" s="119"/>
      <c r="E2" s="137" t="str">
        <f>Index!B2</f>
        <v xml:space="preserve">      Maharashtra State Power Generation Company Ltd.</v>
      </c>
      <c r="F2" s="119"/>
      <c r="G2" s="119"/>
      <c r="H2" s="119"/>
      <c r="I2" s="119"/>
      <c r="J2" s="119"/>
      <c r="K2" s="119"/>
      <c r="L2" s="119"/>
      <c r="M2" s="119"/>
      <c r="N2" s="119"/>
      <c r="O2" s="119"/>
    </row>
    <row r="3" spans="2:15" ht="13.75" customHeight="1" x14ac:dyDescent="0.3">
      <c r="C3" s="119"/>
      <c r="D3" s="119"/>
      <c r="E3" s="385" t="str">
        <f>Index!B3</f>
        <v>MYT Petition Formats for SHP Hydro</v>
      </c>
      <c r="F3" s="119"/>
      <c r="G3" s="119"/>
      <c r="H3" s="119"/>
      <c r="I3" s="119"/>
      <c r="J3" s="119"/>
      <c r="K3" s="119"/>
      <c r="L3" s="119"/>
      <c r="M3" s="119"/>
      <c r="N3" s="119"/>
      <c r="O3" s="119"/>
    </row>
    <row r="4" spans="2:15" ht="13.75" customHeight="1" x14ac:dyDescent="0.3">
      <c r="C4" s="119"/>
      <c r="D4" s="119"/>
      <c r="E4" s="138" t="s">
        <v>391</v>
      </c>
      <c r="F4" s="119"/>
      <c r="G4" s="119"/>
      <c r="H4" s="119"/>
      <c r="I4" s="119"/>
      <c r="J4" s="119"/>
      <c r="K4" s="119"/>
      <c r="L4" s="119"/>
      <c r="M4" s="119"/>
      <c r="N4" s="119"/>
      <c r="O4" s="119"/>
    </row>
    <row r="5" spans="2:15" ht="13.75" customHeight="1" x14ac:dyDescent="0.3">
      <c r="B5" s="165"/>
      <c r="C5" s="7"/>
      <c r="D5" s="17"/>
      <c r="E5" s="17"/>
      <c r="F5" s="17"/>
      <c r="G5" s="17"/>
      <c r="H5" s="17"/>
      <c r="I5" s="17"/>
    </row>
    <row r="6" spans="2:15" ht="13.75" customHeight="1" x14ac:dyDescent="0.3">
      <c r="B6" s="164" t="s">
        <v>946</v>
      </c>
      <c r="C6" s="7"/>
      <c r="D6" s="17"/>
      <c r="E6" s="17"/>
      <c r="F6" s="17"/>
      <c r="G6" s="17"/>
      <c r="H6" s="17"/>
      <c r="I6" s="17"/>
    </row>
    <row r="7" spans="2:15" ht="13.75" customHeight="1" x14ac:dyDescent="0.3">
      <c r="B7" s="164"/>
      <c r="C7" s="16"/>
      <c r="D7" s="17"/>
      <c r="E7" s="17"/>
      <c r="F7" s="21" t="s">
        <v>10</v>
      </c>
      <c r="G7" s="21"/>
      <c r="H7" s="21"/>
      <c r="I7" s="17"/>
    </row>
    <row r="8" spans="2:15" s="34" customFormat="1" ht="13.75" customHeight="1" x14ac:dyDescent="0.3">
      <c r="B8" s="1524" t="s">
        <v>343</v>
      </c>
      <c r="C8" s="1526" t="s">
        <v>37</v>
      </c>
      <c r="D8" s="1526" t="s">
        <v>153</v>
      </c>
      <c r="E8" s="1478" t="s">
        <v>519</v>
      </c>
      <c r="F8" s="1480"/>
      <c r="G8" s="1526" t="s">
        <v>153</v>
      </c>
      <c r="H8" s="1478" t="s">
        <v>520</v>
      </c>
      <c r="I8" s="1480"/>
      <c r="J8" s="1526" t="s">
        <v>153</v>
      </c>
      <c r="K8" s="1478" t="s">
        <v>521</v>
      </c>
      <c r="L8" s="1480"/>
      <c r="M8" s="56"/>
    </row>
    <row r="9" spans="2:15" s="34" customFormat="1" ht="13.75" customHeight="1" x14ac:dyDescent="0.3">
      <c r="B9" s="1525"/>
      <c r="C9" s="1527"/>
      <c r="D9" s="1527"/>
      <c r="E9" s="245" t="s">
        <v>993</v>
      </c>
      <c r="F9" s="291" t="s">
        <v>620</v>
      </c>
      <c r="G9" s="1527"/>
      <c r="H9" s="587" t="s">
        <v>993</v>
      </c>
      <c r="I9" s="589" t="s">
        <v>620</v>
      </c>
      <c r="J9" s="1527"/>
      <c r="K9" s="587" t="s">
        <v>993</v>
      </c>
      <c r="L9" s="589" t="s">
        <v>620</v>
      </c>
      <c r="M9" s="56"/>
    </row>
    <row r="10" spans="2:15" s="34" customFormat="1" ht="13.75" customHeight="1" x14ac:dyDescent="0.3">
      <c r="B10" s="167">
        <v>1</v>
      </c>
      <c r="C10" s="254" t="s">
        <v>462</v>
      </c>
      <c r="D10" s="1528" t="s">
        <v>839</v>
      </c>
      <c r="E10" s="1529"/>
      <c r="F10" s="1530"/>
      <c r="G10" s="1528" t="s">
        <v>839</v>
      </c>
      <c r="H10" s="1529"/>
      <c r="I10" s="1530"/>
      <c r="J10" s="1546" t="s">
        <v>839</v>
      </c>
      <c r="K10" s="1547"/>
      <c r="L10" s="1548"/>
      <c r="M10" s="56"/>
    </row>
    <row r="11" spans="2:15" s="34" customFormat="1" ht="13.75" customHeight="1" x14ac:dyDescent="0.3">
      <c r="B11" s="167">
        <f t="shared" ref="B11:B21" si="0">B10+1</f>
        <v>2</v>
      </c>
      <c r="C11" s="254" t="s">
        <v>838</v>
      </c>
      <c r="D11" s="1531"/>
      <c r="E11" s="1532"/>
      <c r="F11" s="1533"/>
      <c r="G11" s="1531"/>
      <c r="H11" s="1532"/>
      <c r="I11" s="1533"/>
      <c r="J11" s="1549"/>
      <c r="K11" s="1550"/>
      <c r="L11" s="1551"/>
      <c r="M11" s="56"/>
    </row>
    <row r="12" spans="2:15" s="6" customFormat="1" ht="30" x14ac:dyDescent="0.3">
      <c r="B12" s="167">
        <f t="shared" si="0"/>
        <v>3</v>
      </c>
      <c r="C12" s="160" t="s">
        <v>330</v>
      </c>
      <c r="D12" s="1531"/>
      <c r="E12" s="1532"/>
      <c r="F12" s="1533"/>
      <c r="G12" s="1531"/>
      <c r="H12" s="1532"/>
      <c r="I12" s="1533"/>
      <c r="J12" s="1549"/>
      <c r="K12" s="1550"/>
      <c r="L12" s="1551"/>
    </row>
    <row r="13" spans="2:15" s="6" customFormat="1" ht="16.75" customHeight="1" x14ac:dyDescent="0.3">
      <c r="B13" s="167">
        <f t="shared" si="0"/>
        <v>4</v>
      </c>
      <c r="C13" s="160" t="s">
        <v>333</v>
      </c>
      <c r="D13" s="1531"/>
      <c r="E13" s="1532"/>
      <c r="F13" s="1533"/>
      <c r="G13" s="1531"/>
      <c r="H13" s="1532"/>
      <c r="I13" s="1533"/>
      <c r="J13" s="1549"/>
      <c r="K13" s="1550"/>
      <c r="L13" s="1551"/>
    </row>
    <row r="14" spans="2:15" s="6" customFormat="1" ht="16.75" customHeight="1" x14ac:dyDescent="0.3">
      <c r="B14" s="167">
        <f t="shared" si="0"/>
        <v>5</v>
      </c>
      <c r="C14" s="57" t="s">
        <v>331</v>
      </c>
      <c r="D14" s="1531"/>
      <c r="E14" s="1532"/>
      <c r="F14" s="1533"/>
      <c r="G14" s="1531"/>
      <c r="H14" s="1532"/>
      <c r="I14" s="1533"/>
      <c r="J14" s="1549"/>
      <c r="K14" s="1550"/>
      <c r="L14" s="1551"/>
    </row>
    <row r="15" spans="2:15" s="6" customFormat="1" ht="16.75" customHeight="1" x14ac:dyDescent="0.3">
      <c r="B15" s="167">
        <f t="shared" si="0"/>
        <v>6</v>
      </c>
      <c r="C15" s="57" t="s">
        <v>332</v>
      </c>
      <c r="D15" s="1531"/>
      <c r="E15" s="1532"/>
      <c r="F15" s="1533"/>
      <c r="G15" s="1531"/>
      <c r="H15" s="1532"/>
      <c r="I15" s="1533"/>
      <c r="J15" s="1549"/>
      <c r="K15" s="1550"/>
      <c r="L15" s="1551"/>
    </row>
    <row r="16" spans="2:15" s="6" customFormat="1" ht="16.75" customHeight="1" x14ac:dyDescent="0.3">
      <c r="B16" s="167">
        <f t="shared" si="0"/>
        <v>7</v>
      </c>
      <c r="C16" s="57" t="s">
        <v>154</v>
      </c>
      <c r="D16" s="1531"/>
      <c r="E16" s="1532"/>
      <c r="F16" s="1533"/>
      <c r="G16" s="1531"/>
      <c r="H16" s="1532"/>
      <c r="I16" s="1533"/>
      <c r="J16" s="1549"/>
      <c r="K16" s="1550"/>
      <c r="L16" s="1551"/>
    </row>
    <row r="17" spans="2:16" s="6" customFormat="1" ht="16.75" customHeight="1" x14ac:dyDescent="0.3">
      <c r="B17" s="167">
        <f t="shared" si="0"/>
        <v>8</v>
      </c>
      <c r="C17" s="57" t="s">
        <v>155</v>
      </c>
      <c r="D17" s="1531"/>
      <c r="E17" s="1532"/>
      <c r="F17" s="1533"/>
      <c r="G17" s="1531"/>
      <c r="H17" s="1532"/>
      <c r="I17" s="1533"/>
      <c r="J17" s="1549"/>
      <c r="K17" s="1550"/>
      <c r="L17" s="1551"/>
    </row>
    <row r="18" spans="2:16" s="6" customFormat="1" ht="16.75" customHeight="1" x14ac:dyDescent="0.3">
      <c r="B18" s="167">
        <f t="shared" si="0"/>
        <v>9</v>
      </c>
      <c r="C18" s="57" t="s">
        <v>156</v>
      </c>
      <c r="D18" s="1531"/>
      <c r="E18" s="1532"/>
      <c r="F18" s="1533"/>
      <c r="G18" s="1531"/>
      <c r="H18" s="1532"/>
      <c r="I18" s="1533"/>
      <c r="J18" s="1549"/>
      <c r="K18" s="1550"/>
      <c r="L18" s="1551"/>
    </row>
    <row r="19" spans="2:16" s="6" customFormat="1" ht="13.75" customHeight="1" x14ac:dyDescent="0.3">
      <c r="B19" s="167">
        <f t="shared" si="0"/>
        <v>10</v>
      </c>
      <c r="C19" s="58" t="s">
        <v>386</v>
      </c>
      <c r="D19" s="1531"/>
      <c r="E19" s="1532"/>
      <c r="F19" s="1533"/>
      <c r="G19" s="1531"/>
      <c r="H19" s="1532"/>
      <c r="I19" s="1533"/>
      <c r="J19" s="1549"/>
      <c r="K19" s="1550"/>
      <c r="L19" s="1551"/>
    </row>
    <row r="20" spans="2:16" s="6" customFormat="1" ht="13.75" customHeight="1" x14ac:dyDescent="0.3">
      <c r="B20" s="167">
        <f t="shared" si="0"/>
        <v>11</v>
      </c>
      <c r="C20" s="58" t="s">
        <v>157</v>
      </c>
      <c r="D20" s="1531"/>
      <c r="E20" s="1532"/>
      <c r="F20" s="1533"/>
      <c r="G20" s="1531"/>
      <c r="H20" s="1532"/>
      <c r="I20" s="1533"/>
      <c r="J20" s="1549"/>
      <c r="K20" s="1550"/>
      <c r="L20" s="1551"/>
    </row>
    <row r="21" spans="2:16" s="6" customFormat="1" ht="13.75" customHeight="1" x14ac:dyDescent="0.3">
      <c r="B21" s="167">
        <f t="shared" si="0"/>
        <v>12</v>
      </c>
      <c r="C21" s="58" t="s">
        <v>158</v>
      </c>
      <c r="D21" s="1531"/>
      <c r="E21" s="1532"/>
      <c r="F21" s="1533"/>
      <c r="G21" s="1531"/>
      <c r="H21" s="1532"/>
      <c r="I21" s="1533"/>
      <c r="J21" s="1549"/>
      <c r="K21" s="1550"/>
      <c r="L21" s="1551"/>
    </row>
    <row r="22" spans="2:16" s="6" customFormat="1" ht="13.75" customHeight="1" x14ac:dyDescent="0.3">
      <c r="B22" s="167">
        <v>13</v>
      </c>
      <c r="C22" s="58" t="s">
        <v>461</v>
      </c>
      <c r="D22" s="1531"/>
      <c r="E22" s="1532"/>
      <c r="F22" s="1533"/>
      <c r="G22" s="1531"/>
      <c r="H22" s="1532"/>
      <c r="I22" s="1533"/>
      <c r="J22" s="1549"/>
      <c r="K22" s="1550"/>
      <c r="L22" s="1551"/>
    </row>
    <row r="23" spans="2:16" x14ac:dyDescent="0.3">
      <c r="B23" s="167">
        <v>14</v>
      </c>
      <c r="C23" s="143" t="s">
        <v>385</v>
      </c>
      <c r="D23" s="1531"/>
      <c r="E23" s="1532"/>
      <c r="F23" s="1533"/>
      <c r="G23" s="1531"/>
      <c r="H23" s="1532"/>
      <c r="I23" s="1533"/>
      <c r="J23" s="1549"/>
      <c r="K23" s="1550"/>
      <c r="L23" s="1551"/>
    </row>
    <row r="24" spans="2:16" x14ac:dyDescent="0.3">
      <c r="B24" s="206"/>
      <c r="C24" s="9"/>
      <c r="D24" s="1531"/>
      <c r="E24" s="1532"/>
      <c r="F24" s="1533"/>
      <c r="G24" s="1531"/>
      <c r="H24" s="1532"/>
      <c r="I24" s="1533"/>
      <c r="J24" s="1549"/>
      <c r="K24" s="1550"/>
      <c r="L24" s="1551"/>
    </row>
    <row r="25" spans="2:16" x14ac:dyDescent="0.3">
      <c r="B25" s="167">
        <v>15</v>
      </c>
      <c r="C25" s="59" t="s">
        <v>383</v>
      </c>
      <c r="D25" s="1531"/>
      <c r="E25" s="1532"/>
      <c r="F25" s="1533"/>
      <c r="G25" s="1531"/>
      <c r="H25" s="1532"/>
      <c r="I25" s="1533"/>
      <c r="J25" s="1549"/>
      <c r="K25" s="1550"/>
      <c r="L25" s="1551"/>
    </row>
    <row r="26" spans="2:16" s="1" customFormat="1" ht="17.25" customHeight="1" x14ac:dyDescent="0.3">
      <c r="B26" s="167">
        <v>16</v>
      </c>
      <c r="C26" s="58" t="s">
        <v>384</v>
      </c>
      <c r="D26" s="1531"/>
      <c r="E26" s="1532"/>
      <c r="F26" s="1533"/>
      <c r="G26" s="1531"/>
      <c r="H26" s="1532"/>
      <c r="I26" s="1533"/>
      <c r="J26" s="1549"/>
      <c r="K26" s="1550"/>
      <c r="L26" s="1551"/>
    </row>
    <row r="27" spans="2:16" s="1" customFormat="1" x14ac:dyDescent="0.3">
      <c r="B27" s="159">
        <f>B26+1</f>
        <v>17</v>
      </c>
      <c r="C27" s="59" t="s">
        <v>86</v>
      </c>
      <c r="D27" s="1531"/>
      <c r="E27" s="1532"/>
      <c r="F27" s="1533"/>
      <c r="G27" s="1531"/>
      <c r="H27" s="1532"/>
      <c r="I27" s="1533"/>
      <c r="J27" s="1549"/>
      <c r="K27" s="1550"/>
      <c r="L27" s="1551"/>
    </row>
    <row r="28" spans="2:16" s="1" customFormat="1" x14ac:dyDescent="0.3">
      <c r="B28" s="167"/>
      <c r="C28" s="59"/>
      <c r="D28" s="1531"/>
      <c r="E28" s="1532"/>
      <c r="F28" s="1533"/>
      <c r="G28" s="1531"/>
      <c r="H28" s="1532"/>
      <c r="I28" s="1533"/>
      <c r="J28" s="1549"/>
      <c r="K28" s="1550"/>
      <c r="L28" s="1551"/>
    </row>
    <row r="29" spans="2:16" s="1" customFormat="1" x14ac:dyDescent="0.3">
      <c r="B29" s="167">
        <v>18</v>
      </c>
      <c r="C29" s="59" t="s">
        <v>499</v>
      </c>
      <c r="D29" s="1534"/>
      <c r="E29" s="1535"/>
      <c r="F29" s="1536"/>
      <c r="G29" s="1534"/>
      <c r="H29" s="1535"/>
      <c r="I29" s="1536"/>
      <c r="J29" s="1552"/>
      <c r="K29" s="1553"/>
      <c r="L29" s="1554"/>
    </row>
    <row r="30" spans="2:16" s="1" customFormat="1" x14ac:dyDescent="0.3">
      <c r="B30" s="251"/>
      <c r="C30" s="252"/>
      <c r="D30" s="7"/>
      <c r="E30" s="253"/>
      <c r="F30" s="253"/>
      <c r="G30" s="253"/>
      <c r="H30" s="253"/>
      <c r="I30" s="253"/>
      <c r="J30" s="253"/>
      <c r="K30" s="56"/>
      <c r="L30" s="56"/>
      <c r="M30" s="56"/>
      <c r="N30" s="56"/>
      <c r="O30" s="56"/>
      <c r="P30" s="56"/>
    </row>
    <row r="31" spans="2:16" s="1" customFormat="1" x14ac:dyDescent="0.3">
      <c r="B31" s="598" t="s">
        <v>152</v>
      </c>
      <c r="C31" s="7"/>
      <c r="D31" s="7"/>
      <c r="E31" s="7"/>
      <c r="F31" s="7"/>
      <c r="G31" s="7"/>
      <c r="H31" s="7"/>
      <c r="I31" s="7"/>
      <c r="J31" s="7"/>
    </row>
    <row r="32" spans="2:16" s="1" customFormat="1" x14ac:dyDescent="0.3">
      <c r="B32" s="599">
        <v>1</v>
      </c>
      <c r="C32" s="40" t="s">
        <v>161</v>
      </c>
      <c r="D32" s="47"/>
      <c r="E32" s="47"/>
      <c r="F32" s="11"/>
      <c r="G32" s="11"/>
      <c r="H32" s="11"/>
      <c r="I32" s="11"/>
      <c r="J32" s="7"/>
    </row>
    <row r="33" spans="2:20" s="1" customFormat="1" x14ac:dyDescent="0.3">
      <c r="B33" s="599">
        <v>2</v>
      </c>
      <c r="C33" s="40" t="s">
        <v>162</v>
      </c>
      <c r="D33" s="47"/>
      <c r="E33" s="47"/>
      <c r="F33" s="11"/>
      <c r="G33" s="11"/>
      <c r="H33" s="11"/>
      <c r="I33" s="11"/>
      <c r="J33" s="7"/>
    </row>
    <row r="34" spans="2:20" s="1" customFormat="1" ht="18" customHeight="1" x14ac:dyDescent="0.3">
      <c r="B34" s="599">
        <v>3</v>
      </c>
      <c r="C34" s="40" t="s">
        <v>163</v>
      </c>
      <c r="D34" s="40"/>
      <c r="E34" s="40"/>
      <c r="F34" s="40"/>
      <c r="G34" s="40"/>
      <c r="H34" s="40"/>
      <c r="I34" s="40"/>
      <c r="J34" s="7"/>
    </row>
    <row r="35" spans="2:20" x14ac:dyDescent="0.3">
      <c r="B35" s="600">
        <v>4</v>
      </c>
      <c r="C35" s="7" t="s">
        <v>699</v>
      </c>
      <c r="D35" s="7"/>
      <c r="E35" s="7"/>
      <c r="F35" s="7"/>
      <c r="G35" s="7"/>
      <c r="H35" s="7"/>
      <c r="I35" s="7"/>
      <c r="J35" s="7"/>
    </row>
    <row r="36" spans="2:20" x14ac:dyDescent="0.3">
      <c r="B36" s="600">
        <v>5</v>
      </c>
      <c r="C36" s="7" t="s">
        <v>463</v>
      </c>
      <c r="D36" s="7"/>
      <c r="E36" s="7"/>
      <c r="F36" s="7"/>
      <c r="G36" s="7"/>
      <c r="H36" s="7"/>
      <c r="I36" s="7"/>
      <c r="J36" s="7"/>
    </row>
    <row r="37" spans="2:20" x14ac:dyDescent="0.3">
      <c r="B37" s="171"/>
      <c r="C37" s="7"/>
      <c r="D37" s="7"/>
      <c r="E37" s="7"/>
      <c r="F37" s="7"/>
      <c r="G37" s="7"/>
      <c r="H37" s="7"/>
      <c r="I37" s="7"/>
      <c r="J37" s="7"/>
    </row>
    <row r="38" spans="2:20" x14ac:dyDescent="0.3">
      <c r="B38" s="171"/>
      <c r="C38" s="7"/>
      <c r="D38" s="7"/>
      <c r="E38" s="7"/>
      <c r="F38" s="7"/>
      <c r="G38" s="7"/>
      <c r="H38" s="7"/>
      <c r="I38" s="7"/>
      <c r="J38" s="7"/>
    </row>
    <row r="39" spans="2:20" x14ac:dyDescent="0.3">
      <c r="B39" s="207" t="s">
        <v>947</v>
      </c>
      <c r="C39" s="7"/>
      <c r="D39" s="7"/>
      <c r="E39" s="396"/>
      <c r="F39" s="7"/>
      <c r="G39" s="7"/>
      <c r="H39" s="7"/>
      <c r="I39" s="7"/>
      <c r="J39" s="7"/>
    </row>
    <row r="40" spans="2:20" x14ac:dyDescent="0.3">
      <c r="N40" s="21" t="s">
        <v>10</v>
      </c>
    </row>
    <row r="41" spans="2:20" s="34" customFormat="1" ht="15" customHeight="1" x14ac:dyDescent="0.3">
      <c r="B41" s="1521" t="s">
        <v>343</v>
      </c>
      <c r="C41" s="1523" t="s">
        <v>37</v>
      </c>
      <c r="D41" s="1523" t="s">
        <v>153</v>
      </c>
      <c r="E41" s="1478" t="s">
        <v>940</v>
      </c>
      <c r="F41" s="1480"/>
      <c r="G41" s="1478" t="s">
        <v>941</v>
      </c>
      <c r="H41" s="1479"/>
      <c r="I41" s="1478" t="s">
        <v>945</v>
      </c>
      <c r="J41" s="1480"/>
      <c r="K41" s="1478" t="s">
        <v>942</v>
      </c>
      <c r="L41" s="1480"/>
      <c r="M41" s="1478" t="s">
        <v>944</v>
      </c>
      <c r="N41" s="1480"/>
      <c r="S41" s="56"/>
      <c r="T41" s="56"/>
    </row>
    <row r="42" spans="2:20" s="35" customFormat="1" x14ac:dyDescent="0.25">
      <c r="B42" s="1521"/>
      <c r="C42" s="1523"/>
      <c r="D42" s="1523"/>
      <c r="E42" s="1478" t="s">
        <v>943</v>
      </c>
      <c r="F42" s="1480"/>
      <c r="G42" s="1478" t="s">
        <v>943</v>
      </c>
      <c r="H42" s="1480"/>
      <c r="I42" s="1478" t="s">
        <v>943</v>
      </c>
      <c r="J42" s="1480"/>
      <c r="K42" s="1478" t="s">
        <v>943</v>
      </c>
      <c r="L42" s="1480"/>
      <c r="M42" s="1478" t="s">
        <v>943</v>
      </c>
      <c r="N42" s="1480"/>
    </row>
    <row r="43" spans="2:20" s="6" customFormat="1" x14ac:dyDescent="0.3">
      <c r="B43" s="167">
        <v>1</v>
      </c>
      <c r="C43" s="160" t="s">
        <v>462</v>
      </c>
      <c r="D43" s="1537" t="s">
        <v>839</v>
      </c>
      <c r="E43" s="1538"/>
      <c r="F43" s="1538"/>
      <c r="G43" s="1538"/>
      <c r="H43" s="1538"/>
      <c r="I43" s="1538"/>
      <c r="J43" s="1538"/>
      <c r="K43" s="1538"/>
      <c r="L43" s="1538"/>
      <c r="M43" s="1538"/>
      <c r="N43" s="1539"/>
    </row>
    <row r="44" spans="2:20" s="6" customFormat="1" x14ac:dyDescent="0.3">
      <c r="B44" s="167">
        <v>1.1000000000000001</v>
      </c>
      <c r="C44" s="325" t="s">
        <v>660</v>
      </c>
      <c r="D44" s="1540"/>
      <c r="E44" s="1541"/>
      <c r="F44" s="1541"/>
      <c r="G44" s="1541"/>
      <c r="H44" s="1541"/>
      <c r="I44" s="1541"/>
      <c r="J44" s="1541"/>
      <c r="K44" s="1541"/>
      <c r="L44" s="1541"/>
      <c r="M44" s="1541"/>
      <c r="N44" s="1542"/>
    </row>
    <row r="45" spans="2:20" s="6" customFormat="1" x14ac:dyDescent="0.3">
      <c r="B45" s="167"/>
      <c r="C45" s="326" t="s">
        <v>661</v>
      </c>
      <c r="D45" s="1540"/>
      <c r="E45" s="1541"/>
      <c r="F45" s="1541"/>
      <c r="G45" s="1541"/>
      <c r="H45" s="1541"/>
      <c r="I45" s="1541"/>
      <c r="J45" s="1541"/>
      <c r="K45" s="1541"/>
      <c r="L45" s="1541"/>
      <c r="M45" s="1541"/>
      <c r="N45" s="1542"/>
    </row>
    <row r="46" spans="2:20" s="6" customFormat="1" x14ac:dyDescent="0.3">
      <c r="B46" s="167"/>
      <c r="C46" s="326" t="s">
        <v>662</v>
      </c>
      <c r="D46" s="1540"/>
      <c r="E46" s="1541"/>
      <c r="F46" s="1541"/>
      <c r="G46" s="1541"/>
      <c r="H46" s="1541"/>
      <c r="I46" s="1541"/>
      <c r="J46" s="1541"/>
      <c r="K46" s="1541"/>
      <c r="L46" s="1541"/>
      <c r="M46" s="1541"/>
      <c r="N46" s="1542"/>
    </row>
    <row r="47" spans="2:20" s="6" customFormat="1" x14ac:dyDescent="0.3">
      <c r="B47" s="167">
        <v>1.2</v>
      </c>
      <c r="C47" s="325" t="s">
        <v>663</v>
      </c>
      <c r="D47" s="1540"/>
      <c r="E47" s="1541"/>
      <c r="F47" s="1541"/>
      <c r="G47" s="1541"/>
      <c r="H47" s="1541"/>
      <c r="I47" s="1541"/>
      <c r="J47" s="1541"/>
      <c r="K47" s="1541"/>
      <c r="L47" s="1541"/>
      <c r="M47" s="1541"/>
      <c r="N47" s="1542"/>
    </row>
    <row r="48" spans="2:20" s="6" customFormat="1" x14ac:dyDescent="0.3">
      <c r="B48" s="167"/>
      <c r="C48" s="326" t="s">
        <v>661</v>
      </c>
      <c r="D48" s="1540"/>
      <c r="E48" s="1541"/>
      <c r="F48" s="1541"/>
      <c r="G48" s="1541"/>
      <c r="H48" s="1541"/>
      <c r="I48" s="1541"/>
      <c r="J48" s="1541"/>
      <c r="K48" s="1541"/>
      <c r="L48" s="1541"/>
      <c r="M48" s="1541"/>
      <c r="N48" s="1542"/>
    </row>
    <row r="49" spans="2:19" s="6" customFormat="1" x14ac:dyDescent="0.3">
      <c r="B49" s="167"/>
      <c r="C49" s="326" t="s">
        <v>662</v>
      </c>
      <c r="D49" s="1540"/>
      <c r="E49" s="1541"/>
      <c r="F49" s="1541"/>
      <c r="G49" s="1541"/>
      <c r="H49" s="1541"/>
      <c r="I49" s="1541"/>
      <c r="J49" s="1541"/>
      <c r="K49" s="1541"/>
      <c r="L49" s="1541"/>
      <c r="M49" s="1541"/>
      <c r="N49" s="1542"/>
    </row>
    <row r="50" spans="2:19" s="6" customFormat="1" x14ac:dyDescent="0.3">
      <c r="B50" s="167">
        <v>2</v>
      </c>
      <c r="C50" s="160" t="s">
        <v>728</v>
      </c>
      <c r="D50" s="1540"/>
      <c r="E50" s="1541"/>
      <c r="F50" s="1541"/>
      <c r="G50" s="1541"/>
      <c r="H50" s="1541"/>
      <c r="I50" s="1541"/>
      <c r="J50" s="1541"/>
      <c r="K50" s="1541"/>
      <c r="L50" s="1541"/>
      <c r="M50" s="1541"/>
      <c r="N50" s="1542"/>
    </row>
    <row r="51" spans="2:19" s="6" customFormat="1" x14ac:dyDescent="0.3">
      <c r="B51" s="167">
        <v>3</v>
      </c>
      <c r="C51" s="160" t="s">
        <v>773</v>
      </c>
      <c r="D51" s="1540"/>
      <c r="E51" s="1541"/>
      <c r="F51" s="1541"/>
      <c r="G51" s="1541"/>
      <c r="H51" s="1541"/>
      <c r="I51" s="1541"/>
      <c r="J51" s="1541"/>
      <c r="K51" s="1541"/>
      <c r="L51" s="1541"/>
      <c r="M51" s="1541"/>
      <c r="N51" s="1542"/>
    </row>
    <row r="52" spans="2:19" s="6" customFormat="1" ht="30" x14ac:dyDescent="0.3">
      <c r="B52" s="167">
        <v>3</v>
      </c>
      <c r="C52" s="160" t="s">
        <v>330</v>
      </c>
      <c r="D52" s="1540"/>
      <c r="E52" s="1541"/>
      <c r="F52" s="1541"/>
      <c r="G52" s="1541"/>
      <c r="H52" s="1541"/>
      <c r="I52" s="1541"/>
      <c r="J52" s="1541"/>
      <c r="K52" s="1541"/>
      <c r="L52" s="1541"/>
      <c r="M52" s="1541"/>
      <c r="N52" s="1542"/>
    </row>
    <row r="53" spans="2:19" s="6" customFormat="1" ht="16" x14ac:dyDescent="0.3">
      <c r="B53" s="167">
        <f>B52+1</f>
        <v>4</v>
      </c>
      <c r="C53" s="160" t="s">
        <v>333</v>
      </c>
      <c r="D53" s="1540"/>
      <c r="E53" s="1541"/>
      <c r="F53" s="1541"/>
      <c r="G53" s="1541"/>
      <c r="H53" s="1541"/>
      <c r="I53" s="1541"/>
      <c r="J53" s="1541"/>
      <c r="K53" s="1541"/>
      <c r="L53" s="1541"/>
      <c r="M53" s="1541"/>
      <c r="N53" s="1542"/>
    </row>
    <row r="54" spans="2:19" s="6" customFormat="1" ht="16" x14ac:dyDescent="0.3">
      <c r="B54" s="167">
        <f t="shared" ref="B54:B67" si="1">B53+1</f>
        <v>5</v>
      </c>
      <c r="C54" s="57" t="s">
        <v>331</v>
      </c>
      <c r="D54" s="1540"/>
      <c r="E54" s="1541"/>
      <c r="F54" s="1541"/>
      <c r="G54" s="1541"/>
      <c r="H54" s="1541"/>
      <c r="I54" s="1541"/>
      <c r="J54" s="1541"/>
      <c r="K54" s="1541"/>
      <c r="L54" s="1541"/>
      <c r="M54" s="1541"/>
      <c r="N54" s="1542"/>
    </row>
    <row r="55" spans="2:19" s="6" customFormat="1" ht="16" x14ac:dyDescent="0.3">
      <c r="B55" s="167">
        <f t="shared" si="1"/>
        <v>6</v>
      </c>
      <c r="C55" s="57" t="s">
        <v>332</v>
      </c>
      <c r="D55" s="1540"/>
      <c r="E55" s="1541"/>
      <c r="F55" s="1541"/>
      <c r="G55" s="1541"/>
      <c r="H55" s="1541"/>
      <c r="I55" s="1541"/>
      <c r="J55" s="1541"/>
      <c r="K55" s="1541"/>
      <c r="L55" s="1541"/>
      <c r="M55" s="1541"/>
      <c r="N55" s="1542"/>
    </row>
    <row r="56" spans="2:19" s="6" customFormat="1" ht="16" x14ac:dyDescent="0.3">
      <c r="B56" s="167">
        <f t="shared" si="1"/>
        <v>7</v>
      </c>
      <c r="C56" s="57" t="s">
        <v>154</v>
      </c>
      <c r="D56" s="1540"/>
      <c r="E56" s="1541"/>
      <c r="F56" s="1541"/>
      <c r="G56" s="1541"/>
      <c r="H56" s="1541"/>
      <c r="I56" s="1541"/>
      <c r="J56" s="1541"/>
      <c r="K56" s="1541"/>
      <c r="L56" s="1541"/>
      <c r="M56" s="1541"/>
      <c r="N56" s="1542"/>
    </row>
    <row r="57" spans="2:19" s="6" customFormat="1" ht="16" x14ac:dyDescent="0.3">
      <c r="B57" s="167">
        <f t="shared" si="1"/>
        <v>8</v>
      </c>
      <c r="C57" s="57" t="s">
        <v>155</v>
      </c>
      <c r="D57" s="1540"/>
      <c r="E57" s="1541"/>
      <c r="F57" s="1541"/>
      <c r="G57" s="1541"/>
      <c r="H57" s="1541"/>
      <c r="I57" s="1541"/>
      <c r="J57" s="1541"/>
      <c r="K57" s="1541"/>
      <c r="L57" s="1541"/>
      <c r="M57" s="1541"/>
      <c r="N57" s="1542"/>
    </row>
    <row r="58" spans="2:19" s="6" customFormat="1" ht="16" x14ac:dyDescent="0.3">
      <c r="B58" s="167">
        <f t="shared" si="1"/>
        <v>9</v>
      </c>
      <c r="C58" s="57" t="s">
        <v>156</v>
      </c>
      <c r="D58" s="1540"/>
      <c r="E58" s="1541"/>
      <c r="F58" s="1541"/>
      <c r="G58" s="1541"/>
      <c r="H58" s="1541"/>
      <c r="I58" s="1541"/>
      <c r="J58" s="1541"/>
      <c r="K58" s="1541"/>
      <c r="L58" s="1541"/>
      <c r="M58" s="1541"/>
      <c r="N58" s="1542"/>
    </row>
    <row r="59" spans="2:19" s="6" customFormat="1" x14ac:dyDescent="0.3">
      <c r="B59" s="167">
        <f t="shared" si="1"/>
        <v>10</v>
      </c>
      <c r="C59" s="58" t="s">
        <v>171</v>
      </c>
      <c r="D59" s="1540"/>
      <c r="E59" s="1541"/>
      <c r="F59" s="1541"/>
      <c r="G59" s="1541"/>
      <c r="H59" s="1541"/>
      <c r="I59" s="1541"/>
      <c r="J59" s="1541"/>
      <c r="K59" s="1541"/>
      <c r="L59" s="1541"/>
      <c r="M59" s="1541"/>
      <c r="N59" s="1542"/>
    </row>
    <row r="60" spans="2:19" s="6" customFormat="1" x14ac:dyDescent="0.3">
      <c r="B60" s="167">
        <f t="shared" si="1"/>
        <v>11</v>
      </c>
      <c r="C60" s="58" t="s">
        <v>157</v>
      </c>
      <c r="D60" s="1540"/>
      <c r="E60" s="1541"/>
      <c r="F60" s="1541"/>
      <c r="G60" s="1541"/>
      <c r="H60" s="1541"/>
      <c r="I60" s="1541"/>
      <c r="J60" s="1541"/>
      <c r="K60" s="1541"/>
      <c r="L60" s="1541"/>
      <c r="M60" s="1541"/>
      <c r="N60" s="1542"/>
    </row>
    <row r="61" spans="2:19" s="6" customFormat="1" x14ac:dyDescent="0.3">
      <c r="B61" s="167">
        <f t="shared" si="1"/>
        <v>12</v>
      </c>
      <c r="C61" s="58" t="s">
        <v>158</v>
      </c>
      <c r="D61" s="1540"/>
      <c r="E61" s="1541"/>
      <c r="F61" s="1541"/>
      <c r="G61" s="1541"/>
      <c r="H61" s="1541"/>
      <c r="I61" s="1541"/>
      <c r="J61" s="1541"/>
      <c r="K61" s="1541"/>
      <c r="L61" s="1541"/>
      <c r="M61" s="1541"/>
      <c r="N61" s="1542"/>
    </row>
    <row r="62" spans="2:19" s="6" customFormat="1" ht="16" x14ac:dyDescent="0.3">
      <c r="B62" s="167">
        <f t="shared" si="1"/>
        <v>13</v>
      </c>
      <c r="C62" s="58" t="s">
        <v>561</v>
      </c>
      <c r="D62" s="1540"/>
      <c r="E62" s="1541"/>
      <c r="F62" s="1541"/>
      <c r="G62" s="1541"/>
      <c r="H62" s="1541"/>
      <c r="I62" s="1541"/>
      <c r="J62" s="1541"/>
      <c r="K62" s="1541"/>
      <c r="L62" s="1541"/>
      <c r="M62" s="1541"/>
      <c r="N62" s="1542"/>
      <c r="O62" s="56"/>
      <c r="P62" s="56"/>
      <c r="Q62" s="56"/>
      <c r="R62" s="56"/>
      <c r="S62" s="56"/>
    </row>
    <row r="63" spans="2:19" x14ac:dyDescent="0.3">
      <c r="B63" s="167">
        <f t="shared" si="1"/>
        <v>14</v>
      </c>
      <c r="C63" s="143" t="s">
        <v>159</v>
      </c>
      <c r="D63" s="1540"/>
      <c r="E63" s="1541"/>
      <c r="F63" s="1541"/>
      <c r="G63" s="1541"/>
      <c r="H63" s="1541"/>
      <c r="I63" s="1541"/>
      <c r="J63" s="1541"/>
      <c r="K63" s="1541"/>
      <c r="L63" s="1541"/>
      <c r="M63" s="1541"/>
      <c r="N63" s="1542"/>
    </row>
    <row r="64" spans="2:19" x14ac:dyDescent="0.3">
      <c r="B64" s="206"/>
      <c r="C64" s="9"/>
      <c r="D64" s="1540"/>
      <c r="E64" s="1541"/>
      <c r="F64" s="1541"/>
      <c r="G64" s="1541"/>
      <c r="H64" s="1541"/>
      <c r="I64" s="1541"/>
      <c r="J64" s="1541"/>
      <c r="K64" s="1541"/>
      <c r="L64" s="1541"/>
      <c r="M64" s="1541"/>
      <c r="N64" s="1542"/>
    </row>
    <row r="65" spans="2:14" x14ac:dyDescent="0.3">
      <c r="B65" s="167">
        <v>13</v>
      </c>
      <c r="C65" s="176" t="s">
        <v>383</v>
      </c>
      <c r="D65" s="1540"/>
      <c r="E65" s="1541"/>
      <c r="F65" s="1541"/>
      <c r="G65" s="1541"/>
      <c r="H65" s="1541"/>
      <c r="I65" s="1541"/>
      <c r="J65" s="1541"/>
      <c r="K65" s="1541"/>
      <c r="L65" s="1541"/>
      <c r="M65" s="1541"/>
      <c r="N65" s="1542"/>
    </row>
    <row r="66" spans="2:14" s="1" customFormat="1" ht="28" x14ac:dyDescent="0.3">
      <c r="B66" s="167">
        <f t="shared" si="1"/>
        <v>14</v>
      </c>
      <c r="C66" s="58" t="s">
        <v>384</v>
      </c>
      <c r="D66" s="1540"/>
      <c r="E66" s="1541"/>
      <c r="F66" s="1541"/>
      <c r="G66" s="1541"/>
      <c r="H66" s="1541"/>
      <c r="I66" s="1541"/>
      <c r="J66" s="1541"/>
      <c r="K66" s="1541"/>
      <c r="L66" s="1541"/>
      <c r="M66" s="1541"/>
      <c r="N66" s="1542"/>
    </row>
    <row r="67" spans="2:14" s="1" customFormat="1" x14ac:dyDescent="0.3">
      <c r="B67" s="159">
        <f t="shared" si="1"/>
        <v>15</v>
      </c>
      <c r="C67" s="59" t="s">
        <v>86</v>
      </c>
      <c r="D67" s="1543"/>
      <c r="E67" s="1544"/>
      <c r="F67" s="1544"/>
      <c r="G67" s="1544"/>
      <c r="H67" s="1544"/>
      <c r="I67" s="1544"/>
      <c r="J67" s="1544"/>
      <c r="K67" s="1544"/>
      <c r="L67" s="1544"/>
      <c r="M67" s="1544"/>
      <c r="N67" s="1545"/>
    </row>
    <row r="68" spans="2:14" s="1" customFormat="1" x14ac:dyDescent="0.3">
      <c r="B68" s="91"/>
      <c r="C68" s="35"/>
      <c r="D68" s="35"/>
    </row>
    <row r="69" spans="2:14" s="1" customFormat="1" x14ac:dyDescent="0.3">
      <c r="B69" s="598" t="s">
        <v>152</v>
      </c>
      <c r="C69" s="7"/>
      <c r="D69" s="7"/>
      <c r="E69" s="7"/>
      <c r="F69" s="7"/>
      <c r="G69" s="7"/>
      <c r="H69" s="7"/>
      <c r="I69" s="7"/>
      <c r="J69" s="7"/>
    </row>
    <row r="70" spans="2:14" s="1" customFormat="1" x14ac:dyDescent="0.3">
      <c r="B70" s="599">
        <v>1</v>
      </c>
      <c r="C70" s="40" t="s">
        <v>161</v>
      </c>
      <c r="D70" s="47"/>
      <c r="E70" s="47"/>
      <c r="F70" s="11"/>
      <c r="G70" s="11"/>
      <c r="H70" s="11"/>
      <c r="I70" s="11"/>
      <c r="J70" s="7"/>
    </row>
    <row r="71" spans="2:14" s="1" customFormat="1" x14ac:dyDescent="0.3">
      <c r="B71" s="599">
        <v>2</v>
      </c>
      <c r="C71" s="40" t="s">
        <v>162</v>
      </c>
      <c r="D71" s="47"/>
      <c r="E71" s="47"/>
      <c r="F71" s="11"/>
      <c r="G71" s="11"/>
      <c r="H71" s="11"/>
      <c r="I71" s="11"/>
      <c r="J71" s="7"/>
    </row>
    <row r="72" spans="2:14" s="1" customFormat="1" ht="18" customHeight="1" x14ac:dyDescent="0.3">
      <c r="B72" s="599">
        <v>3</v>
      </c>
      <c r="C72" s="40" t="s">
        <v>163</v>
      </c>
      <c r="D72" s="40"/>
      <c r="E72" s="40"/>
      <c r="F72" s="40"/>
      <c r="G72" s="40"/>
      <c r="H72" s="40"/>
      <c r="I72" s="40"/>
      <c r="J72" s="7"/>
    </row>
    <row r="73" spans="2:14" x14ac:dyDescent="0.3">
      <c r="B73" s="600">
        <v>4</v>
      </c>
      <c r="C73" s="40" t="s">
        <v>562</v>
      </c>
    </row>
    <row r="74" spans="2:14" x14ac:dyDescent="0.3">
      <c r="B74" s="600"/>
      <c r="C74" s="5" t="s">
        <v>730</v>
      </c>
    </row>
    <row r="75" spans="2:14" x14ac:dyDescent="0.3">
      <c r="B75" s="600"/>
      <c r="C75" s="5" t="s">
        <v>729</v>
      </c>
    </row>
  </sheetData>
  <mergeCells count="25">
    <mergeCell ref="G8:G9"/>
    <mergeCell ref="H8:I8"/>
    <mergeCell ref="G10:I29"/>
    <mergeCell ref="J8:J9"/>
    <mergeCell ref="K8:L8"/>
    <mergeCell ref="J10:L29"/>
    <mergeCell ref="D43:N67"/>
    <mergeCell ref="G41:H41"/>
    <mergeCell ref="I41:J41"/>
    <mergeCell ref="K41:L41"/>
    <mergeCell ref="M41:N41"/>
    <mergeCell ref="E42:F42"/>
    <mergeCell ref="G42:H42"/>
    <mergeCell ref="I42:J42"/>
    <mergeCell ref="K42:L42"/>
    <mergeCell ref="M42:N42"/>
    <mergeCell ref="B41:B42"/>
    <mergeCell ref="C41:C42"/>
    <mergeCell ref="D41:D42"/>
    <mergeCell ref="E8:F8"/>
    <mergeCell ref="B8:B9"/>
    <mergeCell ref="C8:C9"/>
    <mergeCell ref="D8:D9"/>
    <mergeCell ref="E41:F41"/>
    <mergeCell ref="D10:F29"/>
  </mergeCells>
  <pageMargins left="0.74803149606299213" right="0.74803149606299213" top="0.98425196850393704" bottom="0.98425196850393704" header="0.51181102362204722" footer="0.51181102362204722"/>
  <pageSetup paperSize="9" scale="51" fitToHeight="0" orientation="landscape" r:id="rId1"/>
  <headerFooter alignWithMargins="0"/>
  <rowBreaks count="1" manualBreakCount="1">
    <brk id="36" max="1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28"/>
  <sheetViews>
    <sheetView showGridLines="0" view="pageBreakPreview" zoomScale="85" zoomScaleNormal="75" zoomScaleSheetLayoutView="80" workbookViewId="0">
      <pane xSplit="4" ySplit="10" topLeftCell="E11" activePane="bottomRight" state="frozen"/>
      <selection pane="topRight" activeCell="E1" sqref="E1"/>
      <selection pane="bottomLeft" activeCell="A11" sqref="A11"/>
      <selection pane="bottomRight" activeCell="E12" sqref="E12"/>
    </sheetView>
  </sheetViews>
  <sheetFormatPr defaultColWidth="9.36328125" defaultRowHeight="14" x14ac:dyDescent="0.3"/>
  <cols>
    <col min="1" max="1" width="4.36328125" style="5" customWidth="1"/>
    <col min="2" max="2" width="6.36328125" style="5" customWidth="1"/>
    <col min="3" max="3" width="44.6328125" style="5" customWidth="1"/>
    <col min="4" max="8" width="15.6328125" style="49" customWidth="1"/>
    <col min="9" max="9" width="15.54296875" style="5" customWidth="1"/>
    <col min="10" max="11" width="20.6328125" style="5" customWidth="1"/>
    <col min="12" max="14" width="15.6328125" style="5" customWidth="1"/>
    <col min="15" max="15" width="19.36328125" style="5" customWidth="1"/>
    <col min="16" max="19" width="18.54296875" style="5" customWidth="1"/>
    <col min="20" max="20" width="15.6328125" style="5" customWidth="1"/>
    <col min="21" max="16384" width="9.36328125" style="5"/>
  </cols>
  <sheetData>
    <row r="2" spans="1:21" x14ac:dyDescent="0.3">
      <c r="B2" s="1468" t="str">
        <f>Index!B2</f>
        <v xml:space="preserve">      Maharashtra State Power Generation Company Ltd.</v>
      </c>
      <c r="C2" s="1469"/>
      <c r="D2" s="1469"/>
      <c r="E2" s="1469"/>
      <c r="F2" s="1469"/>
      <c r="G2" s="1469"/>
      <c r="H2" s="1469"/>
      <c r="I2" s="1469"/>
      <c r="J2" s="1469"/>
      <c r="K2" s="1469"/>
      <c r="L2" s="1469"/>
      <c r="M2" s="1469"/>
      <c r="N2" s="1469"/>
      <c r="O2" s="1469"/>
      <c r="P2" s="1469"/>
      <c r="Q2" s="1469"/>
      <c r="R2" s="1469"/>
      <c r="S2" s="1469"/>
      <c r="T2" s="1469"/>
    </row>
    <row r="3" spans="1:21" x14ac:dyDescent="0.3">
      <c r="B3" s="1468" t="str">
        <f>Index!B3</f>
        <v>MYT Petition Formats for SHP Hydro</v>
      </c>
      <c r="C3" s="1469"/>
      <c r="D3" s="1469"/>
      <c r="E3" s="1469"/>
      <c r="F3" s="1469"/>
      <c r="G3" s="1469"/>
      <c r="H3" s="1469"/>
      <c r="I3" s="1469"/>
      <c r="J3" s="1469"/>
      <c r="K3" s="1469"/>
      <c r="L3" s="1469"/>
      <c r="M3" s="1469"/>
      <c r="N3" s="1469"/>
      <c r="O3" s="1469"/>
      <c r="P3" s="1469"/>
      <c r="Q3" s="1469"/>
      <c r="R3" s="1469"/>
      <c r="S3" s="1469"/>
      <c r="T3" s="1469"/>
    </row>
    <row r="4" spans="1:21" x14ac:dyDescent="0.3">
      <c r="B4" s="1470" t="s">
        <v>392</v>
      </c>
      <c r="C4" s="1469"/>
      <c r="D4" s="1469"/>
      <c r="E4" s="1469"/>
      <c r="F4" s="1469"/>
      <c r="G4" s="1469"/>
      <c r="H4" s="1469"/>
      <c r="I4" s="1469"/>
      <c r="J4" s="1469"/>
      <c r="K4" s="1469"/>
      <c r="L4" s="1469"/>
      <c r="M4" s="1469"/>
      <c r="N4" s="1469"/>
      <c r="O4" s="1469"/>
      <c r="P4" s="1469"/>
      <c r="Q4" s="1469"/>
      <c r="R4" s="1469"/>
      <c r="S4" s="1469"/>
      <c r="T4" s="1469"/>
    </row>
    <row r="5" spans="1:21" x14ac:dyDescent="0.3">
      <c r="A5" s="11"/>
      <c r="B5" s="1468"/>
      <c r="C5" s="1469"/>
      <c r="D5" s="1469"/>
      <c r="E5" s="1469"/>
      <c r="F5" s="1469"/>
      <c r="G5" s="1469"/>
      <c r="H5" s="1469"/>
      <c r="I5" s="1469"/>
      <c r="J5" s="1469"/>
      <c r="K5" s="1469"/>
      <c r="L5" s="1469"/>
      <c r="M5" s="1469"/>
      <c r="N5" s="1469"/>
      <c r="O5" s="1469"/>
      <c r="P5" s="1469"/>
      <c r="Q5" s="1469"/>
      <c r="R5" s="1469"/>
      <c r="S5" s="1469"/>
      <c r="T5" s="1469"/>
    </row>
    <row r="6" spans="1:21" x14ac:dyDescent="0.3">
      <c r="B6" s="137"/>
      <c r="C6" s="136"/>
      <c r="D6" s="136"/>
      <c r="E6" s="327"/>
      <c r="F6" s="327"/>
      <c r="G6" s="327"/>
      <c r="H6" s="242"/>
      <c r="I6" s="136"/>
      <c r="J6" s="242"/>
      <c r="K6" s="242"/>
      <c r="L6" s="136"/>
      <c r="M6" s="136"/>
      <c r="N6" s="136"/>
      <c r="O6" s="242"/>
      <c r="P6" s="136"/>
      <c r="Q6" s="136"/>
      <c r="R6" s="267"/>
      <c r="S6" s="136"/>
      <c r="T6" s="136"/>
    </row>
    <row r="7" spans="1:21" s="13" customFormat="1" x14ac:dyDescent="0.3">
      <c r="B7" s="32"/>
      <c r="C7" s="8"/>
      <c r="D7" s="33"/>
      <c r="E7" s="33"/>
      <c r="F7" s="33"/>
      <c r="G7" s="33"/>
      <c r="H7" s="33"/>
      <c r="I7" s="15"/>
      <c r="J7" s="15"/>
      <c r="K7" s="15"/>
      <c r="L7" s="15"/>
      <c r="M7" s="15"/>
      <c r="N7" s="32"/>
      <c r="O7" s="32"/>
      <c r="P7" s="15"/>
      <c r="Q7" s="15"/>
      <c r="R7" s="15"/>
      <c r="S7" s="15"/>
      <c r="T7" s="15"/>
    </row>
    <row r="8" spans="1:21" s="34" customFormat="1" x14ac:dyDescent="0.3">
      <c r="B8" s="1476" t="s">
        <v>343</v>
      </c>
      <c r="C8" s="1508" t="s">
        <v>37</v>
      </c>
      <c r="D8" s="1508" t="s">
        <v>93</v>
      </c>
      <c r="E8" s="1478" t="s">
        <v>519</v>
      </c>
      <c r="F8" s="1479"/>
      <c r="G8" s="1480"/>
      <c r="H8" s="1478" t="s">
        <v>520</v>
      </c>
      <c r="I8" s="1479"/>
      <c r="J8" s="1480"/>
      <c r="K8" s="1478" t="s">
        <v>521</v>
      </c>
      <c r="L8" s="1479"/>
      <c r="M8" s="1479"/>
      <c r="N8" s="1479"/>
      <c r="O8" s="1480"/>
      <c r="P8" s="588" t="s">
        <v>940</v>
      </c>
      <c r="Q8" s="588" t="s">
        <v>941</v>
      </c>
      <c r="R8" s="588" t="s">
        <v>945</v>
      </c>
      <c r="S8" s="588" t="s">
        <v>942</v>
      </c>
      <c r="T8" s="588" t="s">
        <v>944</v>
      </c>
      <c r="U8" s="1476" t="s">
        <v>27</v>
      </c>
    </row>
    <row r="9" spans="1:21" s="35" customFormat="1" ht="30" customHeight="1" x14ac:dyDescent="0.25">
      <c r="B9" s="1508"/>
      <c r="C9" s="1508"/>
      <c r="D9" s="1508"/>
      <c r="E9" s="949" t="s">
        <v>993</v>
      </c>
      <c r="F9" s="589" t="s">
        <v>79</v>
      </c>
      <c r="G9" s="589" t="s">
        <v>459</v>
      </c>
      <c r="H9" s="949" t="s">
        <v>993</v>
      </c>
      <c r="I9" s="589" t="s">
        <v>79</v>
      </c>
      <c r="J9" s="589" t="s">
        <v>459</v>
      </c>
      <c r="K9" s="949" t="s">
        <v>993</v>
      </c>
      <c r="L9" s="589" t="s">
        <v>449</v>
      </c>
      <c r="M9" s="589" t="s">
        <v>455</v>
      </c>
      <c r="N9" s="589" t="s">
        <v>80</v>
      </c>
      <c r="O9" s="589" t="s">
        <v>460</v>
      </c>
      <c r="P9" s="589" t="s">
        <v>943</v>
      </c>
      <c r="Q9" s="589" t="s">
        <v>943</v>
      </c>
      <c r="R9" s="589" t="s">
        <v>943</v>
      </c>
      <c r="S9" s="589" t="s">
        <v>943</v>
      </c>
      <c r="T9" s="589" t="s">
        <v>943</v>
      </c>
      <c r="U9" s="1476"/>
    </row>
    <row r="10" spans="1:21" s="35" customFormat="1" ht="20" customHeight="1" x14ac:dyDescent="0.25">
      <c r="B10" s="1522"/>
      <c r="C10" s="1522"/>
      <c r="D10" s="1522"/>
      <c r="E10" s="589" t="s">
        <v>81</v>
      </c>
      <c r="F10" s="589" t="s">
        <v>82</v>
      </c>
      <c r="G10" s="589" t="s">
        <v>692</v>
      </c>
      <c r="H10" s="589" t="s">
        <v>397</v>
      </c>
      <c r="I10" s="589" t="s">
        <v>414</v>
      </c>
      <c r="J10" s="589" t="s">
        <v>465</v>
      </c>
      <c r="K10" s="589" t="s">
        <v>415</v>
      </c>
      <c r="L10" s="589" t="s">
        <v>416</v>
      </c>
      <c r="M10" s="589" t="s">
        <v>603</v>
      </c>
      <c r="N10" s="589" t="s">
        <v>693</v>
      </c>
      <c r="O10" s="589" t="s">
        <v>516</v>
      </c>
      <c r="P10" s="589" t="s">
        <v>605</v>
      </c>
      <c r="Q10" s="589" t="s">
        <v>606</v>
      </c>
      <c r="R10" s="589" t="s">
        <v>607</v>
      </c>
      <c r="S10" s="589" t="s">
        <v>672</v>
      </c>
      <c r="T10" s="589" t="s">
        <v>608</v>
      </c>
      <c r="U10" s="1477"/>
    </row>
    <row r="11" spans="1:21" s="35" customFormat="1" ht="42" customHeight="1" x14ac:dyDescent="0.25">
      <c r="B11" s="38">
        <v>1</v>
      </c>
      <c r="C11" s="147" t="s">
        <v>94</v>
      </c>
      <c r="D11" s="148"/>
      <c r="E11" s="432"/>
      <c r="F11" s="432"/>
      <c r="G11" s="432"/>
      <c r="H11" s="432"/>
      <c r="I11" s="432"/>
      <c r="J11" s="432"/>
      <c r="K11" s="432"/>
      <c r="L11" s="432"/>
      <c r="M11" s="432"/>
      <c r="N11" s="432"/>
      <c r="O11" s="432"/>
      <c r="P11" s="432"/>
      <c r="Q11" s="432"/>
      <c r="R11" s="432"/>
      <c r="S11" s="432"/>
      <c r="T11" s="432"/>
    </row>
    <row r="12" spans="1:21" s="35" customFormat="1" x14ac:dyDescent="0.25">
      <c r="B12" s="149">
        <v>1.1000000000000001</v>
      </c>
      <c r="C12" s="152" t="s">
        <v>95</v>
      </c>
      <c r="D12" s="149" t="s">
        <v>96</v>
      </c>
      <c r="E12" s="538">
        <v>478.2</v>
      </c>
      <c r="F12" s="538">
        <v>478.2</v>
      </c>
      <c r="G12" s="538">
        <v>478.2</v>
      </c>
      <c r="H12" s="538">
        <v>478.2</v>
      </c>
      <c r="I12" s="538">
        <v>478.2</v>
      </c>
      <c r="J12" s="538">
        <v>478.2</v>
      </c>
      <c r="K12" s="538">
        <v>478.2</v>
      </c>
      <c r="L12" s="538">
        <v>478.2</v>
      </c>
      <c r="M12" s="538">
        <v>478.2</v>
      </c>
      <c r="N12" s="538">
        <v>478.2</v>
      </c>
      <c r="O12" s="538">
        <v>478.2</v>
      </c>
      <c r="P12" s="538">
        <v>478.2</v>
      </c>
      <c r="Q12" s="538">
        <v>478.2</v>
      </c>
      <c r="R12" s="538">
        <v>478.2</v>
      </c>
      <c r="S12" s="538">
        <v>478.2</v>
      </c>
      <c r="T12" s="538">
        <v>478.2</v>
      </c>
    </row>
    <row r="13" spans="1:21" s="35" customFormat="1" x14ac:dyDescent="0.25">
      <c r="B13" s="149">
        <v>1.2</v>
      </c>
      <c r="C13" s="150" t="s">
        <v>164</v>
      </c>
      <c r="D13" s="149" t="s">
        <v>98</v>
      </c>
      <c r="E13" s="629"/>
      <c r="F13" s="629"/>
      <c r="G13" s="539"/>
      <c r="H13" s="629"/>
      <c r="I13" s="629"/>
      <c r="J13" s="539"/>
      <c r="K13" s="540"/>
      <c r="L13" s="540"/>
      <c r="M13" s="540"/>
      <c r="N13" s="540"/>
      <c r="O13" s="540"/>
      <c r="P13" s="540"/>
      <c r="Q13" s="540"/>
      <c r="R13" s="540"/>
      <c r="S13" s="540"/>
      <c r="T13" s="432"/>
    </row>
    <row r="14" spans="1:21" s="35" customFormat="1" x14ac:dyDescent="0.25">
      <c r="B14" s="149">
        <v>1.3</v>
      </c>
      <c r="C14" s="150" t="s">
        <v>321</v>
      </c>
      <c r="D14" s="149" t="s">
        <v>98</v>
      </c>
      <c r="E14" s="540"/>
      <c r="F14" s="540"/>
      <c r="G14" s="539"/>
      <c r="H14" s="540"/>
      <c r="I14" s="540"/>
      <c r="J14" s="539"/>
      <c r="K14" s="540"/>
      <c r="L14" s="540"/>
      <c r="M14" s="540"/>
      <c r="N14" s="540"/>
      <c r="O14" s="540"/>
      <c r="P14" s="540"/>
      <c r="Q14" s="540"/>
      <c r="R14" s="540"/>
      <c r="S14" s="540"/>
      <c r="T14" s="432"/>
    </row>
    <row r="15" spans="1:21" s="35" customFormat="1" x14ac:dyDescent="0.25">
      <c r="B15" s="149">
        <v>1.4</v>
      </c>
      <c r="C15" s="150" t="s">
        <v>165</v>
      </c>
      <c r="D15" s="149" t="s">
        <v>100</v>
      </c>
      <c r="E15" s="631">
        <v>1081.5510999999999</v>
      </c>
      <c r="F15" s="538">
        <v>1081.5510999999999</v>
      </c>
      <c r="G15" s="538">
        <f t="shared" ref="G15:G19" si="0">F15-E15</f>
        <v>0</v>
      </c>
      <c r="H15" s="631">
        <f>E15</f>
        <v>1081.5510999999999</v>
      </c>
      <c r="I15" s="538">
        <v>1081.55</v>
      </c>
      <c r="J15" s="538">
        <f t="shared" ref="J15:J19" si="1">I15-H15</f>
        <v>-1.0999999999512511E-3</v>
      </c>
      <c r="K15" s="631">
        <f>E15</f>
        <v>1081.5510999999999</v>
      </c>
      <c r="L15" s="538">
        <v>540.77499999999998</v>
      </c>
      <c r="M15" s="538">
        <v>540.77499999999998</v>
      </c>
      <c r="N15" s="538">
        <f>AVERAGE(L15:M15)</f>
        <v>540.77499999999998</v>
      </c>
      <c r="O15" s="538">
        <f t="shared" ref="O15:O19" si="2">N15-K15</f>
        <v>-540.77609999999993</v>
      </c>
      <c r="P15" s="538">
        <f>$K15</f>
        <v>1081.5510999999999</v>
      </c>
      <c r="Q15" s="538">
        <f>$K15</f>
        <v>1081.5510999999999</v>
      </c>
      <c r="R15" s="538">
        <f t="shared" ref="R15:T15" si="3">$K15</f>
        <v>1081.5510999999999</v>
      </c>
      <c r="S15" s="538">
        <f t="shared" si="3"/>
        <v>1081.5510999999999</v>
      </c>
      <c r="T15" s="538">
        <f t="shared" si="3"/>
        <v>1081.5510999999999</v>
      </c>
    </row>
    <row r="16" spans="1:21" s="35" customFormat="1" x14ac:dyDescent="0.3">
      <c r="B16" s="149">
        <v>1.5</v>
      </c>
      <c r="C16" s="162" t="s">
        <v>166</v>
      </c>
      <c r="D16" s="149" t="s">
        <v>100</v>
      </c>
      <c r="E16" s="630"/>
      <c r="F16" s="630">
        <v>662.05387100000007</v>
      </c>
      <c r="G16" s="538">
        <f t="shared" si="0"/>
        <v>662.05387100000007</v>
      </c>
      <c r="H16" s="630"/>
      <c r="I16" s="630">
        <v>589.91164600000002</v>
      </c>
      <c r="J16" s="538">
        <f t="shared" si="1"/>
        <v>589.91164600000002</v>
      </c>
      <c r="K16" s="538"/>
      <c r="L16" s="630">
        <v>311.03471200000001</v>
      </c>
      <c r="M16" s="630">
        <v>450.30499000000009</v>
      </c>
      <c r="N16" s="538">
        <f>SUM(L16:M16)</f>
        <v>761.3397020000001</v>
      </c>
      <c r="O16" s="538">
        <f t="shared" si="2"/>
        <v>761.3397020000001</v>
      </c>
      <c r="P16" s="538">
        <v>976.17017910000004</v>
      </c>
      <c r="Q16" s="538">
        <v>941.31158200000004</v>
      </c>
      <c r="R16" s="538">
        <v>925.34435826000004</v>
      </c>
      <c r="S16" s="538">
        <v>937.35774296</v>
      </c>
      <c r="T16" s="538">
        <v>987.43598076000001</v>
      </c>
    </row>
    <row r="17" spans="2:21" s="35" customFormat="1" x14ac:dyDescent="0.25">
      <c r="B17" s="149">
        <v>1.6</v>
      </c>
      <c r="C17" s="162" t="s">
        <v>167</v>
      </c>
      <c r="D17" s="149" t="s">
        <v>98</v>
      </c>
      <c r="E17" s="539"/>
      <c r="F17" s="539">
        <v>9.3209967803360196E-3</v>
      </c>
      <c r="G17" s="539">
        <f t="shared" si="0"/>
        <v>9.3209967803360196E-3</v>
      </c>
      <c r="H17" s="539"/>
      <c r="I17" s="539">
        <v>1.164457385538715E-2</v>
      </c>
      <c r="J17" s="539">
        <f t="shared" si="1"/>
        <v>1.164457385538715E-2</v>
      </c>
      <c r="K17" s="539"/>
      <c r="L17" s="539">
        <v>1.1664395194578795E-2</v>
      </c>
      <c r="M17" s="539">
        <v>8.6973453258867937E-3</v>
      </c>
      <c r="N17" s="539">
        <f>N18/N16</f>
        <v>9.9094921494058616E-3</v>
      </c>
      <c r="O17" s="540">
        <f t="shared" si="2"/>
        <v>9.9094921494058616E-3</v>
      </c>
      <c r="P17" s="946">
        <f>P18/P16</f>
        <v>0</v>
      </c>
      <c r="Q17" s="946">
        <f>Q18/Q16</f>
        <v>0</v>
      </c>
      <c r="R17" s="946">
        <f>R18/R16</f>
        <v>0</v>
      </c>
      <c r="S17" s="946">
        <f>S18/S16</f>
        <v>0</v>
      </c>
      <c r="T17" s="946">
        <f>T18/T16</f>
        <v>0</v>
      </c>
    </row>
    <row r="18" spans="2:21" s="35" customFormat="1" x14ac:dyDescent="0.25">
      <c r="B18" s="149">
        <v>1.7</v>
      </c>
      <c r="C18" s="163" t="s">
        <v>167</v>
      </c>
      <c r="D18" s="149" t="s">
        <v>100</v>
      </c>
      <c r="E18" s="538"/>
      <c r="F18" s="538">
        <f>F17*F16</f>
        <v>6.1710019999999988</v>
      </c>
      <c r="G18" s="538">
        <f t="shared" si="0"/>
        <v>6.1710019999999988</v>
      </c>
      <c r="H18" s="538"/>
      <c r="I18" s="538">
        <f>I17*I16</f>
        <v>6.8692697300000001</v>
      </c>
      <c r="J18" s="538">
        <f t="shared" si="1"/>
        <v>6.8692697300000001</v>
      </c>
      <c r="K18" s="538"/>
      <c r="L18" s="538">
        <f>L17*L16</f>
        <v>3.6280317999999996</v>
      </c>
      <c r="M18" s="538">
        <f>M17*M16</f>
        <v>3.916458</v>
      </c>
      <c r="N18" s="538">
        <f>SUM(L18:M18)</f>
        <v>7.5444897999999991</v>
      </c>
      <c r="O18" s="538">
        <f t="shared" si="2"/>
        <v>7.5444897999999991</v>
      </c>
      <c r="P18" s="538"/>
      <c r="Q18" s="538"/>
      <c r="R18" s="538"/>
      <c r="S18" s="538"/>
      <c r="T18" s="538"/>
    </row>
    <row r="19" spans="2:21" s="35" customFormat="1" x14ac:dyDescent="0.25">
      <c r="B19" s="96">
        <v>1.8</v>
      </c>
      <c r="C19" s="162" t="s">
        <v>102</v>
      </c>
      <c r="D19" s="149" t="s">
        <v>100</v>
      </c>
      <c r="E19" s="538"/>
      <c r="F19" s="538">
        <f>F16-F18</f>
        <v>655.88286900000003</v>
      </c>
      <c r="G19" s="538">
        <f t="shared" si="0"/>
        <v>655.88286900000003</v>
      </c>
      <c r="H19" s="538"/>
      <c r="I19" s="538">
        <f>I16-I18</f>
        <v>583.04237626999998</v>
      </c>
      <c r="J19" s="538">
        <f t="shared" si="1"/>
        <v>583.04237626999998</v>
      </c>
      <c r="K19" s="538"/>
      <c r="L19" s="538">
        <f>L16-L18</f>
        <v>307.40668020000004</v>
      </c>
      <c r="M19" s="538">
        <f>M16-M18</f>
        <v>446.38853200000011</v>
      </c>
      <c r="N19" s="538">
        <f>N16-N18</f>
        <v>753.79521220000015</v>
      </c>
      <c r="O19" s="538">
        <f t="shared" si="2"/>
        <v>753.79521220000015</v>
      </c>
      <c r="P19" s="538">
        <f>P16-P18</f>
        <v>976.17017910000004</v>
      </c>
      <c r="Q19" s="538">
        <f>Q16-Q18</f>
        <v>941.31158200000004</v>
      </c>
      <c r="R19" s="538">
        <f>R16-R18</f>
        <v>925.34435826000004</v>
      </c>
      <c r="S19" s="538">
        <f>S16-S18</f>
        <v>937.35774296</v>
      </c>
      <c r="T19" s="538">
        <f>T16-T18</f>
        <v>987.43598076000001</v>
      </c>
    </row>
    <row r="20" spans="2:21" s="1" customFormat="1" x14ac:dyDescent="0.3">
      <c r="B20" s="96"/>
      <c r="C20" s="162"/>
      <c r="D20" s="149"/>
      <c r="E20" s="149"/>
      <c r="F20" s="149"/>
      <c r="G20" s="149"/>
      <c r="H20" s="149"/>
      <c r="I20" s="38"/>
      <c r="J20" s="38"/>
      <c r="K20" s="38"/>
      <c r="L20" s="38"/>
      <c r="M20" s="38"/>
      <c r="N20" s="38"/>
      <c r="O20" s="38"/>
      <c r="P20" s="36"/>
      <c r="Q20" s="36"/>
      <c r="R20" s="36"/>
      <c r="S20" s="36"/>
      <c r="T20" s="36"/>
      <c r="U20" s="36"/>
    </row>
    <row r="21" spans="2:21" s="1" customFormat="1" x14ac:dyDescent="0.3">
      <c r="B21" s="214">
        <v>2</v>
      </c>
      <c r="C21" s="195" t="s">
        <v>995</v>
      </c>
      <c r="D21" s="658" t="s">
        <v>996</v>
      </c>
      <c r="E21" s="149"/>
      <c r="F21" s="149"/>
      <c r="G21" s="149"/>
      <c r="H21" s="149"/>
      <c r="I21" s="38"/>
      <c r="J21" s="38"/>
      <c r="K21" s="38"/>
      <c r="L21" s="38"/>
      <c r="M21" s="38"/>
      <c r="N21" s="38"/>
      <c r="O21" s="38"/>
      <c r="P21" s="36"/>
      <c r="Q21" s="36"/>
      <c r="R21" s="36"/>
      <c r="S21" s="36"/>
      <c r="T21" s="36"/>
      <c r="U21" s="36"/>
    </row>
    <row r="22" spans="2:21" s="1" customFormat="1" x14ac:dyDescent="0.3">
      <c r="B22" s="214"/>
      <c r="C22" s="195"/>
      <c r="D22" s="658"/>
      <c r="E22" s="149"/>
      <c r="F22" s="149"/>
      <c r="G22" s="149"/>
      <c r="H22" s="149"/>
      <c r="I22" s="38"/>
      <c r="J22" s="38"/>
      <c r="K22" s="38"/>
      <c r="L22" s="38"/>
      <c r="M22" s="38"/>
      <c r="N22" s="38"/>
      <c r="O22" s="38"/>
      <c r="P22" s="36"/>
      <c r="Q22" s="36"/>
      <c r="R22" s="36"/>
      <c r="S22" s="36"/>
      <c r="T22" s="36"/>
      <c r="U22" s="36"/>
    </row>
    <row r="23" spans="2:21" s="1" customFormat="1" x14ac:dyDescent="0.3">
      <c r="B23" s="214">
        <v>3</v>
      </c>
      <c r="C23" s="195" t="s">
        <v>997</v>
      </c>
      <c r="D23" s="149"/>
      <c r="E23" s="149"/>
      <c r="F23" s="149"/>
      <c r="G23" s="149"/>
      <c r="H23" s="149"/>
      <c r="I23" s="38"/>
      <c r="J23" s="38"/>
      <c r="K23" s="38"/>
      <c r="L23" s="38"/>
      <c r="M23" s="38"/>
      <c r="N23" s="38"/>
      <c r="O23" s="38"/>
      <c r="P23" s="36"/>
      <c r="Q23" s="36"/>
      <c r="R23" s="36"/>
      <c r="S23" s="36"/>
      <c r="T23" s="36"/>
      <c r="U23" s="36"/>
    </row>
    <row r="24" spans="2:21" ht="16" x14ac:dyDescent="0.3">
      <c r="B24" s="42" t="s">
        <v>141</v>
      </c>
      <c r="C24" s="302"/>
      <c r="D24" s="950"/>
      <c r="E24" s="950"/>
      <c r="F24" s="950"/>
      <c r="G24" s="44"/>
      <c r="H24" s="44"/>
      <c r="I24" s="43"/>
      <c r="M24" s="51"/>
    </row>
    <row r="25" spans="2:21" ht="16" x14ac:dyDescent="0.3">
      <c r="B25" s="951" t="s">
        <v>467</v>
      </c>
      <c r="C25" s="302"/>
      <c r="D25" s="950"/>
      <c r="E25" s="950"/>
      <c r="F25" s="950"/>
      <c r="G25" s="48"/>
      <c r="H25" s="48"/>
      <c r="I25" s="50"/>
    </row>
    <row r="26" spans="2:21" x14ac:dyDescent="0.3">
      <c r="B26" s="711" t="s">
        <v>1451</v>
      </c>
      <c r="C26" s="952"/>
      <c r="D26" s="953"/>
      <c r="E26" s="953"/>
      <c r="F26" s="953"/>
    </row>
    <row r="27" spans="2:21" x14ac:dyDescent="0.3">
      <c r="B27" s="1" t="s">
        <v>1452</v>
      </c>
      <c r="C27" s="1"/>
      <c r="D27" s="205"/>
      <c r="E27" s="205"/>
      <c r="F27" s="205"/>
    </row>
    <row r="28" spans="2:21" x14ac:dyDescent="0.3">
      <c r="B28" s="1"/>
      <c r="C28" s="451"/>
      <c r="D28" s="205"/>
      <c r="E28" s="205"/>
      <c r="F28" s="205"/>
    </row>
  </sheetData>
  <mergeCells count="11">
    <mergeCell ref="U8:U10"/>
    <mergeCell ref="B2:T2"/>
    <mergeCell ref="B3:T3"/>
    <mergeCell ref="B4:T4"/>
    <mergeCell ref="B5:T5"/>
    <mergeCell ref="B8:B10"/>
    <mergeCell ref="C8:C10"/>
    <mergeCell ref="D8:D10"/>
    <mergeCell ref="H8:J8"/>
    <mergeCell ref="K8:O8"/>
    <mergeCell ref="E8:G8"/>
  </mergeCells>
  <pageMargins left="0.6692913385826772" right="0.23622047244094491" top="0.98425196850393704" bottom="0.98425196850393704" header="0.51181102362204722" footer="0.51181102362204722"/>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U22"/>
  <sheetViews>
    <sheetView showGridLines="0" view="pageBreakPreview" topLeftCell="C1" zoomScale="87" zoomScaleNormal="80" zoomScaleSheetLayoutView="87" workbookViewId="0">
      <selection activeCell="F16" sqref="F16"/>
    </sheetView>
  </sheetViews>
  <sheetFormatPr defaultColWidth="9.36328125" defaultRowHeight="14" x14ac:dyDescent="0.25"/>
  <cols>
    <col min="1" max="1" width="3.36328125" style="91" customWidth="1"/>
    <col min="2" max="2" width="7.6328125" style="91" customWidth="1"/>
    <col min="3" max="3" width="49.81640625" style="91" customWidth="1"/>
    <col min="4" max="4" width="14.81640625" style="91" customWidth="1"/>
    <col min="5" max="21" width="15.36328125" style="91" customWidth="1"/>
    <col min="22" max="16384" width="9.36328125" style="91"/>
  </cols>
  <sheetData>
    <row r="2" spans="2:21" x14ac:dyDescent="0.25">
      <c r="B2" s="1468" t="str">
        <f>Index!B2</f>
        <v xml:space="preserve">      Maharashtra State Power Generation Company Ltd.</v>
      </c>
      <c r="C2" s="1469"/>
      <c r="D2" s="1469"/>
      <c r="E2" s="1469"/>
      <c r="F2" s="1469"/>
      <c r="G2" s="1469"/>
      <c r="H2" s="1469"/>
      <c r="I2" s="1469"/>
      <c r="J2" s="1469"/>
      <c r="K2" s="1469"/>
      <c r="L2" s="1469"/>
      <c r="M2" s="1469"/>
    </row>
    <row r="3" spans="2:21" x14ac:dyDescent="0.25">
      <c r="B3" s="1468" t="str">
        <f>Index!B3</f>
        <v>MYT Petition Formats for SHP Hydro</v>
      </c>
      <c r="C3" s="1469"/>
      <c r="D3" s="1469"/>
      <c r="E3" s="1469"/>
      <c r="F3" s="1469"/>
      <c r="G3" s="1469"/>
      <c r="H3" s="1469"/>
      <c r="I3" s="1469"/>
      <c r="J3" s="1469"/>
      <c r="K3" s="1469"/>
      <c r="L3" s="1469"/>
      <c r="M3" s="1469"/>
    </row>
    <row r="4" spans="2:21" x14ac:dyDescent="0.25">
      <c r="B4" s="1470" t="s">
        <v>470</v>
      </c>
      <c r="C4" s="1469"/>
      <c r="D4" s="1469"/>
      <c r="E4" s="1469"/>
      <c r="F4" s="1469"/>
      <c r="G4" s="1469"/>
      <c r="H4" s="1469"/>
      <c r="I4" s="1469"/>
      <c r="J4" s="1469"/>
      <c r="K4" s="1469"/>
      <c r="L4" s="1469"/>
      <c r="M4" s="1469"/>
    </row>
    <row r="6" spans="2:21" x14ac:dyDescent="0.25">
      <c r="B6" s="164"/>
      <c r="C6" s="165"/>
      <c r="D6" s="166"/>
      <c r="E6" s="166"/>
      <c r="F6" s="166"/>
      <c r="G6" s="166"/>
      <c r="U6" s="21"/>
    </row>
    <row r="7" spans="2:21" x14ac:dyDescent="0.25">
      <c r="B7" s="1521" t="s">
        <v>343</v>
      </c>
      <c r="C7" s="1523" t="s">
        <v>37</v>
      </c>
      <c r="D7" s="1523" t="s">
        <v>464</v>
      </c>
      <c r="E7" s="1478" t="s">
        <v>519</v>
      </c>
      <c r="F7" s="1479"/>
      <c r="G7" s="1480"/>
      <c r="H7" s="1478" t="s">
        <v>520</v>
      </c>
      <c r="I7" s="1479"/>
      <c r="J7" s="1480"/>
      <c r="K7" s="1478" t="s">
        <v>521</v>
      </c>
      <c r="L7" s="1479"/>
      <c r="M7" s="1479"/>
      <c r="N7" s="1479"/>
      <c r="O7" s="1480"/>
      <c r="P7" s="588" t="s">
        <v>940</v>
      </c>
      <c r="Q7" s="588" t="s">
        <v>941</v>
      </c>
      <c r="R7" s="588" t="s">
        <v>945</v>
      </c>
      <c r="S7" s="588" t="s">
        <v>942</v>
      </c>
      <c r="T7" s="588" t="s">
        <v>944</v>
      </c>
      <c r="U7" s="1476" t="s">
        <v>27</v>
      </c>
    </row>
    <row r="8" spans="2:21" ht="42" x14ac:dyDescent="0.25">
      <c r="B8" s="1521"/>
      <c r="C8" s="1523"/>
      <c r="D8" s="1523"/>
      <c r="E8" s="955" t="s">
        <v>993</v>
      </c>
      <c r="F8" s="589" t="s">
        <v>79</v>
      </c>
      <c r="G8" s="589" t="s">
        <v>459</v>
      </c>
      <c r="H8" s="955" t="s">
        <v>993</v>
      </c>
      <c r="I8" s="589" t="s">
        <v>79</v>
      </c>
      <c r="J8" s="589" t="s">
        <v>459</v>
      </c>
      <c r="K8" s="955" t="s">
        <v>993</v>
      </c>
      <c r="L8" s="589" t="s">
        <v>449</v>
      </c>
      <c r="M8" s="589" t="s">
        <v>455</v>
      </c>
      <c r="N8" s="589" t="s">
        <v>80</v>
      </c>
      <c r="O8" s="589" t="s">
        <v>460</v>
      </c>
      <c r="P8" s="589" t="s">
        <v>943</v>
      </c>
      <c r="Q8" s="589" t="s">
        <v>943</v>
      </c>
      <c r="R8" s="589" t="s">
        <v>943</v>
      </c>
      <c r="S8" s="589" t="s">
        <v>943</v>
      </c>
      <c r="T8" s="589" t="s">
        <v>943</v>
      </c>
      <c r="U8" s="1476"/>
    </row>
    <row r="9" spans="2:21" x14ac:dyDescent="0.25">
      <c r="B9" s="1522"/>
      <c r="C9" s="1475"/>
      <c r="D9" s="1475"/>
      <c r="E9" s="589" t="s">
        <v>81</v>
      </c>
      <c r="F9" s="589" t="s">
        <v>82</v>
      </c>
      <c r="G9" s="589" t="s">
        <v>692</v>
      </c>
      <c r="H9" s="589" t="s">
        <v>397</v>
      </c>
      <c r="I9" s="589" t="s">
        <v>414</v>
      </c>
      <c r="J9" s="589" t="s">
        <v>465</v>
      </c>
      <c r="K9" s="589" t="s">
        <v>415</v>
      </c>
      <c r="L9" s="589" t="s">
        <v>416</v>
      </c>
      <c r="M9" s="589" t="s">
        <v>603</v>
      </c>
      <c r="N9" s="589" t="s">
        <v>693</v>
      </c>
      <c r="O9" s="589" t="s">
        <v>516</v>
      </c>
      <c r="P9" s="589" t="s">
        <v>605</v>
      </c>
      <c r="Q9" s="589" t="s">
        <v>606</v>
      </c>
      <c r="R9" s="589" t="s">
        <v>607</v>
      </c>
      <c r="S9" s="589" t="s">
        <v>672</v>
      </c>
      <c r="T9" s="589" t="s">
        <v>608</v>
      </c>
      <c r="U9" s="1477"/>
    </row>
    <row r="10" spans="2:21" s="62" customFormat="1" ht="28" x14ac:dyDescent="0.25">
      <c r="B10" s="167">
        <v>1</v>
      </c>
      <c r="C10" s="168" t="s">
        <v>469</v>
      </c>
      <c r="D10" s="175" t="s">
        <v>355</v>
      </c>
      <c r="E10" s="628">
        <v>119.27</v>
      </c>
      <c r="F10" s="365">
        <f>'F1'!G30-'F10'!E14</f>
        <v>148.85447836650198</v>
      </c>
      <c r="G10" s="365">
        <f>F10-E10</f>
        <v>29.584478366501983</v>
      </c>
      <c r="H10" s="628">
        <v>136.4</v>
      </c>
      <c r="I10" s="365">
        <f>'F1'!K30-'F10'!H14</f>
        <v>222.34599881018258</v>
      </c>
      <c r="J10" s="365">
        <f>I10-H10</f>
        <v>85.945998810182573</v>
      </c>
      <c r="K10" s="628">
        <v>142.27000000000001</v>
      </c>
      <c r="L10" s="365">
        <f ca="1">'F1'!O30-'F10'!K14</f>
        <v>89.016618815229137</v>
      </c>
      <c r="M10" s="365">
        <f ca="1">'F1'!P30-'F10'!L14</f>
        <v>88.100808385597432</v>
      </c>
      <c r="N10" s="365">
        <f ca="1">'F1'!Q30-'F10'!M14</f>
        <v>177.1174272008266</v>
      </c>
      <c r="O10" s="365">
        <f ca="1">N10-K10</f>
        <v>34.847427200826587</v>
      </c>
      <c r="P10" s="365">
        <f ca="1">'F1'!S30-'F10'!O14</f>
        <v>208.87024727782261</v>
      </c>
      <c r="Q10" s="365">
        <f ca="1">'F1'!T30-'F10'!P14</f>
        <v>222.53421404818349</v>
      </c>
      <c r="R10" s="365">
        <f ca="1">'F1'!U30-'F10'!Q14</f>
        <v>238.86752201434075</v>
      </c>
      <c r="S10" s="365">
        <f ca="1">'F1'!V30-'F10'!R14</f>
        <v>253.3516493069275</v>
      </c>
      <c r="T10" s="365">
        <f ca="1">'F1'!W30-'F10'!S14</f>
        <v>266.05525939803488</v>
      </c>
      <c r="U10" s="433"/>
    </row>
    <row r="11" spans="2:21" s="62" customFormat="1" x14ac:dyDescent="0.25">
      <c r="B11" s="167">
        <f>B10+1</f>
        <v>2</v>
      </c>
      <c r="C11" s="168" t="s">
        <v>424</v>
      </c>
      <c r="D11" s="175" t="s">
        <v>356</v>
      </c>
      <c r="E11" s="548"/>
      <c r="F11" s="548">
        <f>'F2.5'!F13</f>
        <v>0</v>
      </c>
      <c r="G11" s="548">
        <f t="shared" ref="G11:G16" si="0">F11-E11</f>
        <v>0</v>
      </c>
      <c r="H11" s="548">
        <f>'F2.5'!H13</f>
        <v>0</v>
      </c>
      <c r="I11" s="548">
        <f>'F2.5'!I13</f>
        <v>0</v>
      </c>
      <c r="J11" s="548">
        <f t="shared" ref="J11:J16" si="1">I11-H11</f>
        <v>0</v>
      </c>
      <c r="K11" s="548">
        <f>'F2.5'!K13</f>
        <v>0</v>
      </c>
      <c r="L11" s="548">
        <f>'F2.5'!L13</f>
        <v>0</v>
      </c>
      <c r="M11" s="548">
        <f>'F2.5'!M13</f>
        <v>0</v>
      </c>
      <c r="N11" s="548">
        <f t="shared" ref="N11:N12" si="2">AVERAGE(L11:M11)</f>
        <v>0</v>
      </c>
      <c r="O11" s="548">
        <f t="shared" ref="O11" si="3">N11-K11</f>
        <v>0</v>
      </c>
      <c r="P11" s="548">
        <f>'F2.5'!Q13</f>
        <v>0</v>
      </c>
      <c r="Q11" s="548">
        <f>'F2.5'!S13</f>
        <v>0</v>
      </c>
      <c r="R11" s="548">
        <f>'F2.5'!T13</f>
        <v>0</v>
      </c>
      <c r="S11" s="548">
        <f>'F2.5'!U13</f>
        <v>0</v>
      </c>
      <c r="T11" s="548">
        <f>'F2.5'!V13</f>
        <v>0</v>
      </c>
      <c r="U11" s="433"/>
    </row>
    <row r="12" spans="2:21" s="62" customFormat="1" x14ac:dyDescent="0.25">
      <c r="B12" s="167">
        <f t="shared" ref="B12:B18" si="4">B11+1</f>
        <v>3</v>
      </c>
      <c r="C12" s="168" t="s">
        <v>369</v>
      </c>
      <c r="D12" s="175" t="s">
        <v>363</v>
      </c>
      <c r="E12" s="548"/>
      <c r="F12" s="548">
        <f>'F2.5'!F14</f>
        <v>0</v>
      </c>
      <c r="G12" s="548">
        <f t="shared" ref="G12" si="5">F12-E12</f>
        <v>0</v>
      </c>
      <c r="H12" s="548">
        <f>'F2.5'!H14</f>
        <v>0</v>
      </c>
      <c r="I12" s="548">
        <f>'F2.5'!I14</f>
        <v>0</v>
      </c>
      <c r="J12" s="548">
        <f t="shared" ref="J12" si="6">I12-H12</f>
        <v>0</v>
      </c>
      <c r="K12" s="548">
        <f>'F2.5'!K14</f>
        <v>0</v>
      </c>
      <c r="L12" s="548">
        <f>'F2.5'!L14</f>
        <v>0</v>
      </c>
      <c r="M12" s="548">
        <f>'F2.5'!M14</f>
        <v>0</v>
      </c>
      <c r="N12" s="548">
        <f t="shared" si="2"/>
        <v>0</v>
      </c>
      <c r="O12" s="548">
        <f t="shared" ref="O12" si="7">N12-K12</f>
        <v>0</v>
      </c>
      <c r="P12" s="548">
        <f>'F2.5'!Q14</f>
        <v>0</v>
      </c>
      <c r="Q12" s="548">
        <f>'F2.5'!S14</f>
        <v>0</v>
      </c>
      <c r="R12" s="548">
        <f>'F2.5'!T14</f>
        <v>0</v>
      </c>
      <c r="S12" s="548">
        <f>'F2.5'!U14</f>
        <v>0</v>
      </c>
      <c r="T12" s="548">
        <f>'F2.5'!V14</f>
        <v>0</v>
      </c>
      <c r="U12" s="433"/>
    </row>
    <row r="13" spans="2:21" x14ac:dyDescent="0.25">
      <c r="B13" s="167">
        <f t="shared" si="4"/>
        <v>4</v>
      </c>
      <c r="C13" s="169" t="s">
        <v>471</v>
      </c>
      <c r="D13" s="175" t="s">
        <v>468</v>
      </c>
      <c r="E13" s="417"/>
      <c r="F13" s="627"/>
      <c r="G13" s="417"/>
      <c r="H13" s="417"/>
      <c r="I13" s="417"/>
      <c r="J13" s="417"/>
      <c r="K13" s="417"/>
      <c r="L13" s="417"/>
      <c r="M13" s="417"/>
      <c r="N13" s="417"/>
      <c r="O13" s="417"/>
      <c r="P13" s="417"/>
      <c r="Q13" s="417"/>
      <c r="R13" s="417"/>
      <c r="S13" s="417"/>
      <c r="T13" s="417"/>
      <c r="U13" s="433"/>
    </row>
    <row r="14" spans="2:21" x14ac:dyDescent="0.25">
      <c r="B14" s="167"/>
      <c r="C14" s="170"/>
      <c r="D14" s="175"/>
      <c r="E14" s="365"/>
      <c r="F14" s="365"/>
      <c r="G14" s="365"/>
      <c r="H14" s="365"/>
      <c r="I14" s="365"/>
      <c r="J14" s="365"/>
      <c r="K14" s="365"/>
      <c r="L14" s="365"/>
      <c r="M14" s="365"/>
      <c r="N14" s="365"/>
      <c r="O14" s="365"/>
      <c r="P14" s="365"/>
      <c r="Q14" s="365"/>
      <c r="R14" s="365"/>
      <c r="S14" s="365"/>
      <c r="T14" s="365"/>
      <c r="U14" s="433"/>
    </row>
    <row r="15" spans="2:21" x14ac:dyDescent="0.25">
      <c r="B15" s="167">
        <v>5</v>
      </c>
      <c r="C15" s="168" t="s">
        <v>370</v>
      </c>
      <c r="D15" s="175" t="s">
        <v>357</v>
      </c>
      <c r="E15" s="365">
        <f>'F2.5'!E15</f>
        <v>1081.5510999999999</v>
      </c>
      <c r="F15" s="365">
        <f>'F2.5'!F15</f>
        <v>1081.5510999999999</v>
      </c>
      <c r="G15" s="365">
        <f t="shared" si="0"/>
        <v>0</v>
      </c>
      <c r="H15" s="365">
        <f>'F2.5'!H15</f>
        <v>1081.5510999999999</v>
      </c>
      <c r="I15" s="365">
        <f>'F2.5'!I15</f>
        <v>1081.55</v>
      </c>
      <c r="J15" s="365">
        <f t="shared" si="1"/>
        <v>-1.0999999999512511E-3</v>
      </c>
      <c r="K15" s="365">
        <f>'F2.5'!K15</f>
        <v>1081.5510999999999</v>
      </c>
      <c r="L15" s="365">
        <f>'F2.5'!L15</f>
        <v>540.77499999999998</v>
      </c>
      <c r="M15" s="365">
        <f>'F2.5'!M15</f>
        <v>540.77499999999998</v>
      </c>
      <c r="N15" s="365">
        <f>AVERAGE(L15:M15)</f>
        <v>540.77499999999998</v>
      </c>
      <c r="O15" s="365">
        <f>N15-K15</f>
        <v>-540.77609999999993</v>
      </c>
      <c r="P15" s="365">
        <f>'F2.5'!P15</f>
        <v>1081.5510999999999</v>
      </c>
      <c r="Q15" s="365">
        <f>'F2.5'!Q15</f>
        <v>1081.5510999999999</v>
      </c>
      <c r="R15" s="365">
        <f>'F2.5'!R15</f>
        <v>1081.5510999999999</v>
      </c>
      <c r="S15" s="365">
        <f>'F2.5'!S15</f>
        <v>1081.5510999999999</v>
      </c>
      <c r="T15" s="365">
        <f>'F2.5'!T15</f>
        <v>1081.5510999999999</v>
      </c>
      <c r="U15" s="433"/>
    </row>
    <row r="16" spans="2:21" s="98" customFormat="1" x14ac:dyDescent="0.25">
      <c r="B16" s="167">
        <f t="shared" si="4"/>
        <v>6</v>
      </c>
      <c r="C16" s="168" t="s">
        <v>371</v>
      </c>
      <c r="D16" s="175" t="s">
        <v>365</v>
      </c>
      <c r="E16" s="548"/>
      <c r="F16" s="548">
        <f>'F2.5'!F17</f>
        <v>9.3209967803360196E-3</v>
      </c>
      <c r="G16" s="548">
        <f t="shared" si="0"/>
        <v>9.3209967803360196E-3</v>
      </c>
      <c r="H16" s="548"/>
      <c r="I16" s="548">
        <f>'F2.5'!I17</f>
        <v>1.164457385538715E-2</v>
      </c>
      <c r="J16" s="548">
        <f t="shared" si="1"/>
        <v>1.164457385538715E-2</v>
      </c>
      <c r="K16" s="548"/>
      <c r="L16" s="548">
        <f>'F2.5'!L17</f>
        <v>1.1664395194578795E-2</v>
      </c>
      <c r="M16" s="548">
        <f>'F2.5'!M17</f>
        <v>8.6973453258867937E-3</v>
      </c>
      <c r="N16" s="548">
        <f t="shared" ref="N16" si="8">AVERAGE(L16:M16)</f>
        <v>1.0180870260232795E-2</v>
      </c>
      <c r="O16" s="548">
        <f t="shared" ref="O16" si="9">N16-M16</f>
        <v>1.4835249343460016E-3</v>
      </c>
      <c r="P16" s="548">
        <f>'F2.5'!Q17</f>
        <v>0</v>
      </c>
      <c r="Q16" s="548">
        <f>'F2.5'!S17</f>
        <v>0</v>
      </c>
      <c r="R16" s="548">
        <f>'F2.5'!T17</f>
        <v>0</v>
      </c>
      <c r="S16" s="548">
        <f>'F2.5'!U17</f>
        <v>0</v>
      </c>
      <c r="T16" s="548">
        <f>'F2.5'!V17</f>
        <v>0</v>
      </c>
      <c r="U16" s="433"/>
    </row>
    <row r="17" spans="2:21" s="98" customFormat="1" x14ac:dyDescent="0.25">
      <c r="B17" s="167">
        <f t="shared" si="4"/>
        <v>7</v>
      </c>
      <c r="C17" s="168" t="s">
        <v>372</v>
      </c>
      <c r="D17" s="175" t="s">
        <v>366</v>
      </c>
      <c r="E17" s="546"/>
      <c r="F17" s="546">
        <f t="shared" ref="F17:Q17" si="10">F15*(1-F16)</f>
        <v>1071.4699656791311</v>
      </c>
      <c r="G17" s="546">
        <f t="shared" si="10"/>
        <v>0</v>
      </c>
      <c r="H17" s="546"/>
      <c r="I17" s="546">
        <f t="shared" si="10"/>
        <v>1068.9558111467059</v>
      </c>
      <c r="J17" s="546">
        <f t="shared" si="10"/>
        <v>-1.0871909687108928E-3</v>
      </c>
      <c r="K17" s="546"/>
      <c r="L17" s="546">
        <f t="shared" si="10"/>
        <v>534.46718668865162</v>
      </c>
      <c r="M17" s="546">
        <f t="shared" si="10"/>
        <v>536.07169308139351</v>
      </c>
      <c r="N17" s="546">
        <f t="shared" si="10"/>
        <v>535.26943988502251</v>
      </c>
      <c r="O17" s="546">
        <f t="shared" si="10"/>
        <v>-539.97384517175158</v>
      </c>
      <c r="P17" s="546">
        <f t="shared" si="10"/>
        <v>1081.5510999999999</v>
      </c>
      <c r="Q17" s="546">
        <f t="shared" si="10"/>
        <v>1081.5510999999999</v>
      </c>
      <c r="R17" s="546">
        <f t="shared" ref="R17:T17" si="11">R15*(1-R16)</f>
        <v>1081.5510999999999</v>
      </c>
      <c r="S17" s="546">
        <f t="shared" si="11"/>
        <v>1081.5510999999999</v>
      </c>
      <c r="T17" s="546">
        <f t="shared" si="11"/>
        <v>1081.5510999999999</v>
      </c>
      <c r="U17" s="433"/>
    </row>
    <row r="18" spans="2:21" s="549" customFormat="1" x14ac:dyDescent="0.25">
      <c r="B18" s="159">
        <f t="shared" si="4"/>
        <v>8</v>
      </c>
      <c r="C18" s="176" t="s">
        <v>373</v>
      </c>
      <c r="D18" s="134" t="s">
        <v>367</v>
      </c>
      <c r="E18" s="547"/>
      <c r="F18" s="547">
        <f>0.5*F10/F17*10</f>
        <v>0.69462739570191012</v>
      </c>
      <c r="G18" s="417">
        <f t="shared" ref="G18" si="12">F18-E18</f>
        <v>0.69462739570191012</v>
      </c>
      <c r="H18" s="547"/>
      <c r="I18" s="547">
        <f t="shared" ref="I18:Q18" si="13">0.5*I10/I17*10</f>
        <v>1.0400149215319965</v>
      </c>
      <c r="J18" s="417">
        <f t="shared" ref="J18" si="14">I18-H18</f>
        <v>1.0400149215319965</v>
      </c>
      <c r="K18" s="547"/>
      <c r="L18" s="547">
        <f t="shared" ca="1" si="13"/>
        <v>0.83276037362313193</v>
      </c>
      <c r="M18" s="547">
        <f t="shared" ca="1" si="13"/>
        <v>0.82172598854441659</v>
      </c>
      <c r="N18" s="417">
        <f ca="1">SUM(L18:M18)</f>
        <v>1.6544863621675485</v>
      </c>
      <c r="O18" s="417">
        <f ca="1">N18-K18</f>
        <v>1.6544863621675485</v>
      </c>
      <c r="P18" s="547">
        <f t="shared" ca="1" si="13"/>
        <v>0.96560507995333111</v>
      </c>
      <c r="Q18" s="547">
        <f t="shared" ca="1" si="13"/>
        <v>1.0287734627064016</v>
      </c>
      <c r="R18" s="547">
        <f t="shared" ref="R18:T18" ca="1" si="15">0.5*R10/R17*10</f>
        <v>1.1042821833121927</v>
      </c>
      <c r="S18" s="547">
        <f t="shared" ca="1" si="15"/>
        <v>1.1712421600187337</v>
      </c>
      <c r="T18" s="547">
        <f t="shared" ca="1" si="15"/>
        <v>1.2299708233759592</v>
      </c>
      <c r="U18" s="433"/>
    </row>
    <row r="19" spans="2:21" s="98" customFormat="1" x14ac:dyDescent="0.25">
      <c r="B19" s="91"/>
      <c r="C19" s="91"/>
    </row>
    <row r="20" spans="2:21" s="98" customFormat="1" x14ac:dyDescent="0.25">
      <c r="B20" s="954" t="s">
        <v>169</v>
      </c>
      <c r="C20" s="171"/>
      <c r="D20" s="171"/>
      <c r="E20" s="171"/>
      <c r="F20" s="171"/>
      <c r="G20" s="171"/>
      <c r="H20" s="171"/>
    </row>
    <row r="21" spans="2:21" s="98" customFormat="1" ht="16" x14ac:dyDescent="0.25">
      <c r="B21" s="951" t="s">
        <v>467</v>
      </c>
      <c r="C21" s="173"/>
      <c r="D21" s="174"/>
      <c r="E21" s="93"/>
      <c r="F21" s="93"/>
      <c r="G21" s="93"/>
      <c r="H21" s="171"/>
    </row>
    <row r="22" spans="2:21" s="98" customFormat="1" ht="18" customHeight="1" x14ac:dyDescent="0.3">
      <c r="B22" s="711" t="s">
        <v>1451</v>
      </c>
      <c r="C22" s="172"/>
      <c r="D22" s="172"/>
      <c r="E22" s="172"/>
      <c r="F22" s="172"/>
      <c r="G22" s="172"/>
      <c r="H22" s="171"/>
    </row>
  </sheetData>
  <mergeCells count="10">
    <mergeCell ref="U7:U9"/>
    <mergeCell ref="B2:M2"/>
    <mergeCell ref="B3:M3"/>
    <mergeCell ref="B4:M4"/>
    <mergeCell ref="B7:B9"/>
    <mergeCell ref="C7:C9"/>
    <mergeCell ref="D7:D9"/>
    <mergeCell ref="E7:G7"/>
    <mergeCell ref="H7:J7"/>
    <mergeCell ref="K7:O7"/>
  </mergeCells>
  <pageMargins left="0.75" right="0.75" top="1" bottom="1" header="0.5" footer="0.5"/>
  <pageSetup paperSize="9" scale="3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N45"/>
  <sheetViews>
    <sheetView showGridLines="0" view="pageBreakPreview" topLeftCell="B1" zoomScale="90" zoomScaleNormal="80" zoomScaleSheetLayoutView="90" workbookViewId="0">
      <selection activeCell="J10" sqref="J10"/>
    </sheetView>
  </sheetViews>
  <sheetFormatPr defaultColWidth="9.36328125" defaultRowHeight="14" x14ac:dyDescent="0.3"/>
  <cols>
    <col min="1" max="1" width="3.36328125" style="5" customWidth="1"/>
    <col min="2" max="2" width="8.36328125" style="5" customWidth="1"/>
    <col min="3" max="3" width="43.6328125" style="5" customWidth="1"/>
    <col min="4" max="5" width="15.6328125" style="5" customWidth="1"/>
    <col min="6" max="6" width="18.36328125" style="5" customWidth="1"/>
    <col min="7" max="7" width="15.6328125" style="5" customWidth="1"/>
    <col min="8" max="8" width="18" style="5" customWidth="1"/>
    <col min="9" max="9" width="15.6328125" style="5" customWidth="1"/>
    <col min="10" max="10" width="17.6328125" style="5" customWidth="1"/>
    <col min="11" max="11" width="15.6328125" style="5" customWidth="1"/>
    <col min="12" max="12" width="19" style="5" customWidth="1"/>
    <col min="13" max="13" width="15.6328125" style="5" customWidth="1"/>
    <col min="14" max="14" width="18.36328125" style="5" customWidth="1"/>
    <col min="15" max="16384" width="9.36328125" style="5"/>
  </cols>
  <sheetData>
    <row r="2" spans="2:14" x14ac:dyDescent="0.3">
      <c r="B2" s="1468" t="str">
        <f>Index!B2</f>
        <v xml:space="preserve">      Maharashtra State Power Generation Company Ltd.</v>
      </c>
      <c r="C2" s="1469"/>
      <c r="D2" s="1469"/>
      <c r="E2" s="1469"/>
      <c r="F2" s="1469"/>
      <c r="G2" s="1469"/>
      <c r="H2" s="1469"/>
      <c r="I2" s="1469"/>
      <c r="J2" s="1469"/>
      <c r="K2" s="1469"/>
      <c r="L2" s="1469"/>
      <c r="M2" s="1469"/>
    </row>
    <row r="3" spans="2:14" x14ac:dyDescent="0.3">
      <c r="B3" s="1468" t="str">
        <f>Index!B3</f>
        <v>MYT Petition Formats for SHP Hydro</v>
      </c>
      <c r="C3" s="1469"/>
      <c r="D3" s="1469"/>
      <c r="E3" s="1469"/>
      <c r="F3" s="1469"/>
      <c r="G3" s="1469"/>
      <c r="H3" s="1469"/>
      <c r="I3" s="1469"/>
      <c r="J3" s="1469"/>
      <c r="K3" s="1469"/>
      <c r="L3" s="1469"/>
      <c r="M3" s="1469"/>
    </row>
    <row r="4" spans="2:14" x14ac:dyDescent="0.3">
      <c r="B4" s="1470" t="s">
        <v>393</v>
      </c>
      <c r="C4" s="1469"/>
      <c r="D4" s="1469"/>
      <c r="E4" s="1469"/>
      <c r="F4" s="1469"/>
      <c r="G4" s="1469"/>
      <c r="H4" s="1469"/>
      <c r="I4" s="1469"/>
      <c r="J4" s="1469"/>
      <c r="K4" s="1469"/>
      <c r="L4" s="1469"/>
      <c r="M4" s="1469"/>
    </row>
    <row r="6" spans="2:14" x14ac:dyDescent="0.3">
      <c r="B6" s="6" t="s">
        <v>727</v>
      </c>
    </row>
    <row r="7" spans="2:14" x14ac:dyDescent="0.3">
      <c r="B7" s="52"/>
      <c r="C7" s="16"/>
      <c r="D7" s="17"/>
      <c r="E7" s="17"/>
      <c r="F7" s="21" t="s">
        <v>10</v>
      </c>
      <c r="G7" s="17"/>
      <c r="H7" s="17"/>
      <c r="I7" s="17"/>
      <c r="J7" s="17"/>
      <c r="K7" s="17"/>
      <c r="L7" s="17"/>
      <c r="M7" s="17"/>
      <c r="N7" s="17"/>
    </row>
    <row r="8" spans="2:14" s="34" customFormat="1" ht="15.75" customHeight="1" x14ac:dyDescent="0.3">
      <c r="B8" s="1524" t="s">
        <v>343</v>
      </c>
      <c r="C8" s="1526" t="s">
        <v>37</v>
      </c>
      <c r="D8" s="1526" t="s">
        <v>153</v>
      </c>
      <c r="E8" s="1478" t="s">
        <v>519</v>
      </c>
      <c r="F8" s="1480"/>
      <c r="G8" s="1478" t="s">
        <v>520</v>
      </c>
      <c r="H8" s="1480"/>
      <c r="I8" s="1478" t="s">
        <v>521</v>
      </c>
      <c r="J8" s="1480"/>
    </row>
    <row r="9" spans="2:14" s="34" customFormat="1" ht="26.25" customHeight="1" x14ac:dyDescent="0.3">
      <c r="B9" s="1525"/>
      <c r="C9" s="1527"/>
      <c r="D9" s="1527"/>
      <c r="E9" s="270" t="s">
        <v>980</v>
      </c>
      <c r="F9" s="291" t="s">
        <v>981</v>
      </c>
      <c r="G9" s="595" t="s">
        <v>980</v>
      </c>
      <c r="H9" s="597" t="s">
        <v>981</v>
      </c>
      <c r="I9" s="595" t="s">
        <v>980</v>
      </c>
      <c r="J9" s="597" t="s">
        <v>620</v>
      </c>
    </row>
    <row r="10" spans="2:14" s="6" customFormat="1" x14ac:dyDescent="0.3">
      <c r="B10" s="141">
        <v>1</v>
      </c>
      <c r="C10" s="58" t="s">
        <v>386</v>
      </c>
      <c r="D10" s="356">
        <v>1</v>
      </c>
      <c r="E10" s="435"/>
      <c r="F10" s="435">
        <f>('F1'!$F$14+'F1'!$F$13+'F1'!$F$23)/12*$D$10</f>
        <v>30.575220654575219</v>
      </c>
      <c r="G10" s="434"/>
      <c r="H10" s="435">
        <f>('F1'!$J$14+'F1'!$J$13+'F1'!$J$23)/12*$D$10</f>
        <v>32.577841501440652</v>
      </c>
      <c r="I10" s="434"/>
      <c r="J10" s="435">
        <f>('F1'!$N$13+'F1'!$N$14+'F1'!$N$23)/12*$D$10</f>
        <v>32.94759937383224</v>
      </c>
    </row>
    <row r="11" spans="2:14" s="6" customFormat="1" x14ac:dyDescent="0.3">
      <c r="B11" s="141">
        <v>2</v>
      </c>
      <c r="C11" s="58" t="s">
        <v>157</v>
      </c>
      <c r="D11" s="436">
        <v>0.01</v>
      </c>
      <c r="E11" s="435"/>
      <c r="F11" s="435">
        <f>'F5'!D31*$D$11</f>
        <v>0.39684641059697862</v>
      </c>
      <c r="G11" s="434"/>
      <c r="H11" s="435">
        <f>'F5'!I31*$D$11</f>
        <v>0.49086960681697855</v>
      </c>
      <c r="I11" s="434"/>
      <c r="J11" s="435">
        <f>'F5'!N31*$D$11</f>
        <v>0.55987266020697857</v>
      </c>
    </row>
    <row r="12" spans="2:14" s="6" customFormat="1" x14ac:dyDescent="0.3">
      <c r="B12" s="141">
        <v>3</v>
      </c>
      <c r="C12" s="58" t="s">
        <v>158</v>
      </c>
      <c r="D12" s="355">
        <v>45</v>
      </c>
      <c r="E12" s="417"/>
      <c r="F12" s="417">
        <f>('F1'!G30-'F1'!G13+'F1'!F13)/365*D12</f>
        <v>47.988435475334484</v>
      </c>
      <c r="G12" s="434"/>
      <c r="H12" s="417">
        <f>('F1'!K30-'F1'!K13+'F1'!J13)/366*69</f>
        <v>79.356155750837402</v>
      </c>
      <c r="I12" s="434"/>
      <c r="J12" s="417">
        <f ca="1">('F1'!Q30-'F1'!Q13+'F1'!N13)/365*75</f>
        <v>85.604391219440899</v>
      </c>
    </row>
    <row r="13" spans="2:14" x14ac:dyDescent="0.3">
      <c r="B13" s="141">
        <v>4</v>
      </c>
      <c r="C13" s="143" t="s">
        <v>159</v>
      </c>
      <c r="D13" s="360"/>
      <c r="E13" s="417"/>
      <c r="F13" s="417">
        <f>SUM(F10:F12)</f>
        <v>78.960502540506681</v>
      </c>
      <c r="G13" s="434"/>
      <c r="H13" s="417">
        <f>SUM(H10:H12)</f>
        <v>112.42486685909503</v>
      </c>
      <c r="I13" s="434"/>
      <c r="J13" s="417">
        <f ca="1">SUM(J10:J12)</f>
        <v>119.11186325348012</v>
      </c>
    </row>
    <row r="14" spans="2:14" x14ac:dyDescent="0.3">
      <c r="B14" s="10"/>
      <c r="C14" s="9"/>
      <c r="D14" s="360"/>
      <c r="E14" s="434"/>
      <c r="F14" s="417"/>
      <c r="G14" s="434"/>
      <c r="H14" s="417"/>
      <c r="I14" s="434"/>
      <c r="J14" s="417"/>
    </row>
    <row r="15" spans="2:14" ht="14" customHeight="1" x14ac:dyDescent="0.3">
      <c r="B15" s="144">
        <v>5</v>
      </c>
      <c r="C15" s="59" t="s">
        <v>160</v>
      </c>
      <c r="D15" s="360"/>
      <c r="E15" s="434"/>
      <c r="F15" s="417"/>
      <c r="G15" s="434"/>
      <c r="H15" s="417"/>
      <c r="I15" s="434"/>
      <c r="J15" s="417"/>
    </row>
    <row r="16" spans="2:14" s="1" customFormat="1" ht="17.25" customHeight="1" x14ac:dyDescent="0.3">
      <c r="B16" s="145">
        <v>6</v>
      </c>
      <c r="C16" s="58" t="s">
        <v>388</v>
      </c>
      <c r="D16" s="360"/>
      <c r="E16" s="569">
        <v>9.4500000000000001E-2</v>
      </c>
      <c r="F16" s="519">
        <v>9.2987671232876712E-2</v>
      </c>
      <c r="G16" s="569"/>
      <c r="H16" s="519">
        <v>0.10065163934426231</v>
      </c>
      <c r="I16" s="569"/>
      <c r="J16" s="519">
        <v>0.1045</v>
      </c>
    </row>
    <row r="17" spans="2:12" s="1" customFormat="1" ht="15" x14ac:dyDescent="0.3">
      <c r="B17" s="141">
        <v>7</v>
      </c>
      <c r="C17" s="59" t="s">
        <v>86</v>
      </c>
      <c r="D17" s="360"/>
      <c r="E17" s="959">
        <v>5.1856252286806299</v>
      </c>
      <c r="F17" s="639">
        <f>F13*F16</f>
        <v>7.3423532506193618</v>
      </c>
      <c r="G17" s="570">
        <v>5.5543395665325672</v>
      </c>
      <c r="H17" s="897">
        <f>H13*H16</f>
        <v>11.315747152428342</v>
      </c>
      <c r="I17" s="570">
        <v>5.835538005787047</v>
      </c>
      <c r="J17" s="897">
        <f ca="1">J13*J16</f>
        <v>12.447189709988672</v>
      </c>
    </row>
    <row r="18" spans="2:12" s="1" customFormat="1" x14ac:dyDescent="0.3">
      <c r="B18" s="141"/>
      <c r="C18" s="59"/>
      <c r="D18" s="360"/>
      <c r="E18" s="434"/>
      <c r="F18" s="434"/>
      <c r="G18" s="434"/>
      <c r="H18" s="434"/>
      <c r="I18" s="434"/>
      <c r="J18" s="434"/>
    </row>
    <row r="19" spans="2:12" s="1" customFormat="1" x14ac:dyDescent="0.3">
      <c r="B19" s="167">
        <v>8</v>
      </c>
      <c r="C19" s="59" t="s">
        <v>499</v>
      </c>
      <c r="D19" s="360"/>
      <c r="E19" s="434"/>
      <c r="F19" s="395">
        <v>19.024224697601021</v>
      </c>
      <c r="G19" s="434"/>
      <c r="H19" s="395">
        <v>25.539280766884744</v>
      </c>
      <c r="I19" s="434"/>
      <c r="J19" s="480"/>
    </row>
    <row r="20" spans="2:12" s="1" customFormat="1" x14ac:dyDescent="0.3">
      <c r="B20" s="6" t="s">
        <v>169</v>
      </c>
      <c r="C20" s="35"/>
    </row>
    <row r="21" spans="2:12" s="1" customFormat="1" x14ac:dyDescent="0.3">
      <c r="B21" s="5">
        <v>1</v>
      </c>
      <c r="C21" s="7" t="s">
        <v>731</v>
      </c>
    </row>
    <row r="22" spans="2:12" s="1" customFormat="1" x14ac:dyDescent="0.3">
      <c r="B22" s="5">
        <v>2</v>
      </c>
      <c r="C22" s="7" t="s">
        <v>463</v>
      </c>
    </row>
    <row r="23" spans="2:12" s="1" customFormat="1" x14ac:dyDescent="0.3">
      <c r="B23" s="5">
        <v>3</v>
      </c>
      <c r="C23" s="45" t="s">
        <v>168</v>
      </c>
    </row>
    <row r="24" spans="2:12" s="1" customFormat="1" x14ac:dyDescent="0.3">
      <c r="B24" s="5"/>
      <c r="C24" s="45"/>
    </row>
    <row r="25" spans="2:12" x14ac:dyDescent="0.3">
      <c r="B25" s="6" t="s">
        <v>947</v>
      </c>
    </row>
    <row r="26" spans="2:12" x14ac:dyDescent="0.3">
      <c r="B26" s="52"/>
      <c r="C26" s="16"/>
      <c r="D26" s="17"/>
      <c r="E26" s="17"/>
      <c r="F26" s="17"/>
      <c r="G26" s="17"/>
      <c r="H26" s="17"/>
    </row>
    <row r="27" spans="2:12" s="34" customFormat="1" ht="15.75" customHeight="1" x14ac:dyDescent="0.3">
      <c r="B27" s="1524" t="s">
        <v>343</v>
      </c>
      <c r="C27" s="1526" t="s">
        <v>37</v>
      </c>
      <c r="D27" s="1471" t="s">
        <v>387</v>
      </c>
      <c r="E27" s="596" t="s">
        <v>940</v>
      </c>
      <c r="F27" s="596" t="s">
        <v>941</v>
      </c>
      <c r="G27" s="596" t="s">
        <v>945</v>
      </c>
      <c r="H27" s="596" t="s">
        <v>942</v>
      </c>
      <c r="I27" s="597" t="s">
        <v>944</v>
      </c>
      <c r="J27" s="56"/>
      <c r="K27" s="1555"/>
      <c r="L27" s="1555"/>
    </row>
    <row r="28" spans="2:12" s="6" customFormat="1" ht="35" customHeight="1" x14ac:dyDescent="0.3">
      <c r="B28" s="1525"/>
      <c r="C28" s="1527"/>
      <c r="D28" s="1556"/>
      <c r="E28" s="597" t="s">
        <v>943</v>
      </c>
      <c r="F28" s="597" t="s">
        <v>943</v>
      </c>
      <c r="G28" s="597" t="s">
        <v>943</v>
      </c>
      <c r="H28" s="597" t="s">
        <v>943</v>
      </c>
      <c r="I28" s="597" t="s">
        <v>943</v>
      </c>
      <c r="J28" s="602"/>
      <c r="K28" s="622"/>
      <c r="L28" s="602"/>
    </row>
    <row r="29" spans="2:12" s="6" customFormat="1" x14ac:dyDescent="0.3">
      <c r="B29" s="141">
        <v>1</v>
      </c>
      <c r="C29" s="58" t="s">
        <v>386</v>
      </c>
      <c r="D29" s="356">
        <v>1</v>
      </c>
      <c r="E29" s="439">
        <f>('F3'!S17+'F10'!O15+'F1'!S14)/12*$D29</f>
        <v>14.373489029593612</v>
      </c>
      <c r="F29" s="439">
        <f>('F3'!T17+'F10'!P15+'F1'!T14)/12*$D29</f>
        <v>14.998338506961302</v>
      </c>
      <c r="G29" s="439">
        <f>('F3'!U17+'F10'!Q15+'F1'!U14)/12*$D29</f>
        <v>15.650410327996779</v>
      </c>
      <c r="H29" s="439">
        <f>('F3'!V17+'F10'!R15+'F1'!V14)/12*$D29</f>
        <v>16.330890467917442</v>
      </c>
      <c r="I29" s="439">
        <f>('F3'!W17+'F10'!S15+'F1'!W14)/12*$D29</f>
        <v>17.041016570424265</v>
      </c>
      <c r="J29" s="623"/>
      <c r="K29" s="623"/>
      <c r="L29" s="623"/>
    </row>
    <row r="30" spans="2:12" s="6" customFormat="1" x14ac:dyDescent="0.3">
      <c r="B30" s="141">
        <v>2</v>
      </c>
      <c r="C30" s="58" t="s">
        <v>157</v>
      </c>
      <c r="D30" s="437">
        <v>0.01</v>
      </c>
      <c r="E30" s="439">
        <f>'F5 (T)'!S31*$D30</f>
        <v>1.0392023832069786</v>
      </c>
      <c r="F30" s="439">
        <f>'F5 (T)'!D57*$D30</f>
        <v>1.4783825498736454</v>
      </c>
      <c r="G30" s="439">
        <f>'F5 (T)'!I57*$D30</f>
        <v>1.7312325498736454</v>
      </c>
      <c r="H30" s="439">
        <f>'F5 (T)'!N57*$D30</f>
        <v>2.2009325498736452</v>
      </c>
      <c r="I30" s="439">
        <f>'F5 (T)'!S57*$D30</f>
        <v>2.478265883206979</v>
      </c>
      <c r="J30" s="370"/>
      <c r="K30" s="603"/>
      <c r="L30" s="370"/>
    </row>
    <row r="31" spans="2:12" x14ac:dyDescent="0.3">
      <c r="B31" s="141">
        <v>3</v>
      </c>
      <c r="C31" s="58" t="s">
        <v>732</v>
      </c>
      <c r="D31" s="355">
        <v>45</v>
      </c>
      <c r="E31" s="438">
        <f ca="1">'F1'!S30/365*$D31</f>
        <v>53.656994869868541</v>
      </c>
      <c r="F31" s="438">
        <f ca="1">'F1'!T30/365*$D31</f>
        <v>56.767292142926728</v>
      </c>
      <c r="G31" s="438">
        <f ca="1">'F1'!U30/366*$D31</f>
        <v>59.310974018156642</v>
      </c>
      <c r="H31" s="438">
        <f ca="1">'F1'!V30/365*$D31</f>
        <v>59.45960333921024</v>
      </c>
      <c r="I31" s="438">
        <f ca="1">'F1'!W30/365*$D31</f>
        <v>60.618459377839919</v>
      </c>
      <c r="J31" s="370"/>
      <c r="K31" s="624"/>
      <c r="L31" s="370"/>
    </row>
    <row r="32" spans="2:12" x14ac:dyDescent="0.3">
      <c r="B32" s="141">
        <v>4</v>
      </c>
      <c r="C32" s="143" t="s">
        <v>159</v>
      </c>
      <c r="D32" s="142"/>
      <c r="E32" s="438">
        <f t="shared" ref="E32" ca="1" si="0">SUM(E29:E31)</f>
        <v>69.069686282669124</v>
      </c>
      <c r="F32" s="438">
        <f t="shared" ref="F32:I32" ca="1" si="1">SUM(F29:F31)</f>
        <v>73.244013199761667</v>
      </c>
      <c r="G32" s="438">
        <f t="shared" ca="1" si="1"/>
        <v>76.692616896027062</v>
      </c>
      <c r="H32" s="438">
        <f t="shared" ca="1" si="1"/>
        <v>77.99142635700133</v>
      </c>
      <c r="I32" s="438">
        <f t="shared" ca="1" si="1"/>
        <v>80.13774183147116</v>
      </c>
      <c r="J32" s="370"/>
      <c r="K32" s="370"/>
      <c r="L32" s="370"/>
    </row>
    <row r="33" spans="2:12" ht="14" customHeight="1" x14ac:dyDescent="0.3">
      <c r="B33" s="10"/>
      <c r="C33" s="9"/>
      <c r="D33" s="142"/>
      <c r="E33" s="142"/>
      <c r="F33" s="142"/>
      <c r="G33" s="142"/>
      <c r="H33" s="142"/>
      <c r="I33" s="142"/>
      <c r="J33" s="61"/>
      <c r="K33" s="61"/>
      <c r="L33" s="61"/>
    </row>
    <row r="34" spans="2:12" s="1" customFormat="1" x14ac:dyDescent="0.3">
      <c r="B34" s="144">
        <v>5</v>
      </c>
      <c r="C34" s="59" t="s">
        <v>160</v>
      </c>
      <c r="D34" s="142"/>
      <c r="E34" s="142"/>
      <c r="F34" s="142"/>
      <c r="G34" s="142"/>
      <c r="H34" s="142"/>
      <c r="I34" s="142"/>
      <c r="J34" s="61"/>
      <c r="K34" s="61"/>
      <c r="L34" s="61"/>
    </row>
    <row r="35" spans="2:12" s="1" customFormat="1" x14ac:dyDescent="0.3">
      <c r="B35" s="159">
        <v>6</v>
      </c>
      <c r="C35" s="58" t="s">
        <v>388</v>
      </c>
      <c r="D35" s="142"/>
      <c r="E35" s="477">
        <v>0.1045</v>
      </c>
      <c r="F35" s="477">
        <v>0.1045</v>
      </c>
      <c r="G35" s="477">
        <v>0.1045</v>
      </c>
      <c r="H35" s="477">
        <v>0.1045</v>
      </c>
      <c r="I35" s="477">
        <v>0.1045</v>
      </c>
      <c r="J35" s="625"/>
      <c r="K35" s="625"/>
      <c r="L35" s="625"/>
    </row>
    <row r="36" spans="2:12" s="1" customFormat="1" x14ac:dyDescent="0.3">
      <c r="B36" s="141">
        <v>7</v>
      </c>
      <c r="C36" s="59" t="s">
        <v>86</v>
      </c>
      <c r="D36" s="9"/>
      <c r="E36" s="395">
        <f ca="1">E32*E35</f>
        <v>7.2177822165389234</v>
      </c>
      <c r="F36" s="395">
        <f t="shared" ref="F36:I36" ca="1" si="2">F32*F35</f>
        <v>7.6539993793750938</v>
      </c>
      <c r="G36" s="395">
        <f t="shared" ca="1" si="2"/>
        <v>8.0143784656348274</v>
      </c>
      <c r="H36" s="395">
        <f t="shared" ca="1" si="2"/>
        <v>8.1501040543066381</v>
      </c>
      <c r="I36" s="395">
        <f t="shared" ca="1" si="2"/>
        <v>8.3743940213887367</v>
      </c>
      <c r="J36" s="624"/>
      <c r="K36" s="626"/>
      <c r="L36" s="624"/>
    </row>
    <row r="37" spans="2:12" s="1" customFormat="1" x14ac:dyDescent="0.3">
      <c r="B37" s="141">
        <f t="shared" ref="B37" si="3">B36+1</f>
        <v>8</v>
      </c>
      <c r="C37" s="59" t="s">
        <v>937</v>
      </c>
      <c r="D37" s="9"/>
      <c r="E37" s="9">
        <v>0</v>
      </c>
      <c r="F37" s="9">
        <v>0</v>
      </c>
      <c r="G37" s="9">
        <v>0</v>
      </c>
      <c r="H37" s="9">
        <v>0</v>
      </c>
      <c r="I37" s="9">
        <v>0</v>
      </c>
      <c r="J37" s="624"/>
      <c r="K37" s="624"/>
      <c r="L37" s="624"/>
    </row>
    <row r="38" spans="2:12" s="1" customFormat="1" x14ac:dyDescent="0.3">
      <c r="B38" s="53" t="s">
        <v>169</v>
      </c>
      <c r="C38" s="7"/>
      <c r="D38" s="47"/>
      <c r="E38" s="47"/>
      <c r="F38" s="47"/>
      <c r="G38" s="11"/>
      <c r="H38" s="11"/>
      <c r="I38" s="7"/>
    </row>
    <row r="39" spans="2:12" s="1" customFormat="1" ht="18" customHeight="1" x14ac:dyDescent="0.3">
      <c r="B39" s="45" t="s">
        <v>168</v>
      </c>
      <c r="C39" s="43"/>
      <c r="D39" s="45"/>
      <c r="E39" s="45"/>
      <c r="F39" s="45"/>
      <c r="G39" s="45"/>
      <c r="H39" s="45"/>
      <c r="I39" s="7"/>
    </row>
    <row r="40" spans="2:12" s="1" customFormat="1" ht="13.5" customHeight="1" x14ac:dyDescent="0.3">
      <c r="B40" s="45" t="s">
        <v>734</v>
      </c>
      <c r="C40" s="43"/>
      <c r="D40" s="45"/>
      <c r="E40" s="45"/>
      <c r="F40" s="45"/>
      <c r="G40" s="45"/>
      <c r="H40" s="45"/>
      <c r="I40" s="7"/>
    </row>
    <row r="41" spans="2:12" x14ac:dyDescent="0.3">
      <c r="B41" s="45" t="s">
        <v>733</v>
      </c>
      <c r="C41" s="45"/>
      <c r="D41" s="7"/>
      <c r="E41" s="7"/>
      <c r="F41" s="7"/>
      <c r="G41" s="7"/>
      <c r="H41" s="7"/>
      <c r="I41" s="7"/>
    </row>
    <row r="42" spans="2:12" x14ac:dyDescent="0.3">
      <c r="B42" s="7"/>
      <c r="C42" s="7"/>
      <c r="D42" s="7"/>
      <c r="E42" s="7"/>
      <c r="F42" s="7"/>
      <c r="G42" s="7"/>
      <c r="H42" s="7"/>
      <c r="I42" s="7"/>
    </row>
    <row r="43" spans="2:12" x14ac:dyDescent="0.3">
      <c r="B43" s="7"/>
      <c r="C43" s="7"/>
      <c r="D43" s="7"/>
      <c r="E43" s="7"/>
      <c r="F43" s="7"/>
      <c r="G43" s="7"/>
      <c r="H43" s="55"/>
      <c r="I43" s="7"/>
    </row>
    <row r="44" spans="2:12" x14ac:dyDescent="0.3">
      <c r="B44" s="7"/>
      <c r="C44" s="7"/>
      <c r="D44" s="7"/>
      <c r="E44" s="7"/>
      <c r="F44" s="7"/>
      <c r="G44" s="7"/>
      <c r="H44" s="7"/>
      <c r="I44" s="7"/>
    </row>
    <row r="45" spans="2:12" x14ac:dyDescent="0.3">
      <c r="B45" s="7"/>
      <c r="C45" s="7"/>
    </row>
  </sheetData>
  <mergeCells count="13">
    <mergeCell ref="I8:J8"/>
    <mergeCell ref="K27:L27"/>
    <mergeCell ref="B27:B28"/>
    <mergeCell ref="B2:M2"/>
    <mergeCell ref="B3:M3"/>
    <mergeCell ref="B4:M4"/>
    <mergeCell ref="D8:D9"/>
    <mergeCell ref="E8:F8"/>
    <mergeCell ref="C8:C9"/>
    <mergeCell ref="B8:B9"/>
    <mergeCell ref="D27:D28"/>
    <mergeCell ref="C27:C28"/>
    <mergeCell ref="G8:H8"/>
  </mergeCells>
  <pageMargins left="0.75" right="0.75" top="1" bottom="1" header="0.5" footer="0.5"/>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G10" sqref="G10"/>
    </sheetView>
  </sheetViews>
  <sheetFormatPr defaultColWidth="9.36328125" defaultRowHeight="14" x14ac:dyDescent="0.3"/>
  <cols>
    <col min="1" max="1" width="4.36328125" style="5" customWidth="1"/>
    <col min="2" max="2" width="6.36328125" style="5" customWidth="1"/>
    <col min="3" max="3" width="46.54296875" style="5" customWidth="1"/>
    <col min="4" max="4" width="17.54296875" style="5" customWidth="1"/>
    <col min="5" max="5" width="11.08984375" style="5" bestFit="1" customWidth="1"/>
    <col min="6" max="6" width="14.453125" style="5" bestFit="1" customWidth="1"/>
    <col min="7" max="7" width="17.54296875" style="5" customWidth="1"/>
    <col min="8" max="8" width="14.6328125" style="5" customWidth="1"/>
    <col min="9" max="9" width="11.08984375" style="5" bestFit="1" customWidth="1"/>
    <col min="10" max="10" width="13.54296875" style="5" customWidth="1"/>
    <col min="11" max="12" width="15.6328125" style="5" customWidth="1"/>
    <col min="13" max="13" width="11.08984375" style="5" bestFit="1" customWidth="1"/>
    <col min="14" max="18" width="15.6328125" style="5" customWidth="1"/>
    <col min="19" max="19" width="12.1796875" style="5" customWidth="1"/>
    <col min="20" max="23" width="14.6328125" style="5" customWidth="1"/>
    <col min="24" max="24" width="20.54296875" style="5" customWidth="1"/>
    <col min="25" max="16384" width="9.36328125" style="5"/>
  </cols>
  <sheetData>
    <row r="1" spans="2:24" x14ac:dyDescent="0.3">
      <c r="B1" s="52"/>
    </row>
    <row r="2" spans="2:24" x14ac:dyDescent="0.3">
      <c r="B2" s="1470" t="str">
        <f>Index!B2</f>
        <v xml:space="preserve">      Maharashtra State Power Generation Company Ltd.</v>
      </c>
      <c r="C2" s="1469"/>
      <c r="D2" s="1469"/>
      <c r="E2" s="1469"/>
      <c r="F2" s="1469"/>
      <c r="G2" s="1469"/>
      <c r="H2" s="1469"/>
      <c r="I2" s="1469"/>
      <c r="J2" s="1469"/>
      <c r="K2" s="1469"/>
      <c r="L2" s="1469"/>
      <c r="M2" s="1469"/>
      <c r="N2" s="1469"/>
      <c r="O2" s="1469"/>
      <c r="P2" s="1469"/>
      <c r="Q2" s="1469"/>
      <c r="R2" s="1469"/>
      <c r="S2" s="1469"/>
      <c r="T2" s="1469"/>
      <c r="U2" s="1469"/>
      <c r="V2" s="1469"/>
      <c r="W2" s="1469"/>
      <c r="X2" s="1469"/>
    </row>
    <row r="3" spans="2:24" x14ac:dyDescent="0.3">
      <c r="B3" s="1470" t="str">
        <f>Index!B3</f>
        <v>MYT Petition Formats for SHP Hydro</v>
      </c>
      <c r="C3" s="1469"/>
      <c r="D3" s="1469"/>
      <c r="E3" s="1469"/>
      <c r="F3" s="1469"/>
      <c r="G3" s="1469"/>
      <c r="H3" s="1469"/>
      <c r="I3" s="1469"/>
      <c r="J3" s="1469"/>
      <c r="K3" s="1469"/>
      <c r="L3" s="1469"/>
      <c r="M3" s="1469"/>
      <c r="N3" s="1469"/>
      <c r="O3" s="1469"/>
      <c r="P3" s="1469"/>
      <c r="Q3" s="1469"/>
      <c r="R3" s="1469"/>
      <c r="S3" s="1469"/>
      <c r="T3" s="1469"/>
      <c r="U3" s="1469"/>
      <c r="V3" s="1469"/>
      <c r="W3" s="1469"/>
      <c r="X3" s="1469"/>
    </row>
    <row r="4" spans="2:24" x14ac:dyDescent="0.3">
      <c r="B4" s="1470" t="s">
        <v>664</v>
      </c>
      <c r="C4" s="1469"/>
      <c r="D4" s="1469"/>
      <c r="E4" s="1469"/>
      <c r="F4" s="1469"/>
      <c r="G4" s="1469"/>
      <c r="H4" s="1469"/>
      <c r="I4" s="1469"/>
      <c r="J4" s="1469"/>
      <c r="K4" s="1469"/>
      <c r="L4" s="1469"/>
      <c r="M4" s="1469"/>
      <c r="N4" s="1469"/>
      <c r="O4" s="1469"/>
      <c r="P4" s="1469"/>
      <c r="Q4" s="1469"/>
      <c r="R4" s="1469"/>
      <c r="S4" s="1469"/>
      <c r="T4" s="1469"/>
      <c r="U4" s="1469"/>
      <c r="V4" s="1469"/>
      <c r="W4" s="1469"/>
      <c r="X4" s="1469"/>
    </row>
    <row r="5" spans="2:24" x14ac:dyDescent="0.3">
      <c r="C5" s="60"/>
      <c r="D5" s="60"/>
      <c r="E5" s="60"/>
      <c r="F5" s="60"/>
      <c r="G5" s="60"/>
      <c r="H5" s="60"/>
      <c r="I5" s="60"/>
      <c r="J5" s="60"/>
      <c r="K5" s="60"/>
      <c r="L5" s="60"/>
      <c r="M5" s="60"/>
      <c r="N5" s="60"/>
      <c r="O5" s="60"/>
      <c r="P5" s="60"/>
      <c r="Q5" s="60"/>
      <c r="R5" s="60"/>
      <c r="S5" s="60"/>
      <c r="T5" s="60"/>
      <c r="U5" s="60"/>
      <c r="V5" s="60"/>
      <c r="W5" s="60"/>
    </row>
    <row r="6" spans="2:24" x14ac:dyDescent="0.3">
      <c r="X6" s="21" t="s">
        <v>10</v>
      </c>
    </row>
    <row r="7" spans="2:24" s="34" customFormat="1" ht="15" customHeight="1" x14ac:dyDescent="0.3">
      <c r="B7" s="1568" t="s">
        <v>343</v>
      </c>
      <c r="C7" s="1565" t="s">
        <v>37</v>
      </c>
      <c r="D7" s="1497" t="s">
        <v>5</v>
      </c>
      <c r="E7" s="1478" t="s">
        <v>519</v>
      </c>
      <c r="F7" s="1479"/>
      <c r="G7" s="1479"/>
      <c r="H7" s="1480"/>
      <c r="I7" s="1478" t="s">
        <v>520</v>
      </c>
      <c r="J7" s="1479"/>
      <c r="K7" s="1479"/>
      <c r="L7" s="1480"/>
      <c r="M7" s="1478" t="s">
        <v>521</v>
      </c>
      <c r="N7" s="1479"/>
      <c r="O7" s="1479"/>
      <c r="P7" s="1479"/>
      <c r="Q7" s="1479"/>
      <c r="R7" s="1480"/>
      <c r="S7" s="588" t="s">
        <v>940</v>
      </c>
      <c r="T7" s="588" t="s">
        <v>941</v>
      </c>
      <c r="U7" s="588" t="s">
        <v>945</v>
      </c>
      <c r="V7" s="588" t="s">
        <v>942</v>
      </c>
      <c r="W7" s="588" t="s">
        <v>944</v>
      </c>
      <c r="X7" s="1497" t="s">
        <v>27</v>
      </c>
    </row>
    <row r="8" spans="2:24" s="35" customFormat="1" ht="28" x14ac:dyDescent="0.25">
      <c r="B8" s="1569"/>
      <c r="C8" s="1566"/>
      <c r="D8" s="1497"/>
      <c r="E8" s="589" t="s">
        <v>982</v>
      </c>
      <c r="F8" s="589" t="s">
        <v>936</v>
      </c>
      <c r="G8" s="589" t="s">
        <v>79</v>
      </c>
      <c r="H8" s="589" t="s">
        <v>459</v>
      </c>
      <c r="I8" s="589" t="s">
        <v>982</v>
      </c>
      <c r="J8" s="589" t="s">
        <v>936</v>
      </c>
      <c r="K8" s="589" t="s">
        <v>79</v>
      </c>
      <c r="L8" s="589" t="s">
        <v>459</v>
      </c>
      <c r="M8" s="589" t="s">
        <v>982</v>
      </c>
      <c r="N8" s="589" t="s">
        <v>936</v>
      </c>
      <c r="O8" s="589" t="s">
        <v>449</v>
      </c>
      <c r="P8" s="589" t="s">
        <v>455</v>
      </c>
      <c r="Q8" s="589" t="s">
        <v>80</v>
      </c>
      <c r="R8" s="589" t="s">
        <v>460</v>
      </c>
      <c r="S8" s="589" t="s">
        <v>943</v>
      </c>
      <c r="T8" s="589" t="s">
        <v>943</v>
      </c>
      <c r="U8" s="589" t="s">
        <v>943</v>
      </c>
      <c r="V8" s="589" t="s">
        <v>943</v>
      </c>
      <c r="W8" s="589" t="s">
        <v>943</v>
      </c>
      <c r="X8" s="1497"/>
    </row>
    <row r="9" spans="2:24" s="35" customFormat="1" ht="15.75" customHeight="1" x14ac:dyDescent="0.25">
      <c r="B9" s="1570"/>
      <c r="C9" s="1567"/>
      <c r="D9" s="1497"/>
      <c r="E9" s="589"/>
      <c r="F9" s="589" t="s">
        <v>81</v>
      </c>
      <c r="G9" s="589" t="s">
        <v>82</v>
      </c>
      <c r="H9" s="589" t="s">
        <v>692</v>
      </c>
      <c r="I9" s="589"/>
      <c r="J9" s="589" t="s">
        <v>397</v>
      </c>
      <c r="K9" s="589" t="s">
        <v>414</v>
      </c>
      <c r="L9" s="589" t="s">
        <v>465</v>
      </c>
      <c r="M9" s="589"/>
      <c r="N9" s="589" t="s">
        <v>415</v>
      </c>
      <c r="O9" s="589" t="s">
        <v>416</v>
      </c>
      <c r="P9" s="589" t="s">
        <v>603</v>
      </c>
      <c r="Q9" s="589" t="s">
        <v>693</v>
      </c>
      <c r="R9" s="589" t="s">
        <v>516</v>
      </c>
      <c r="S9" s="589" t="s">
        <v>605</v>
      </c>
      <c r="T9" s="589" t="s">
        <v>606</v>
      </c>
      <c r="U9" s="589" t="s">
        <v>607</v>
      </c>
      <c r="V9" s="589" t="s">
        <v>672</v>
      </c>
      <c r="W9" s="589" t="s">
        <v>608</v>
      </c>
      <c r="X9" s="1498"/>
    </row>
    <row r="10" spans="2:24" s="91" customFormat="1" ht="18.649999999999999" customHeight="1" x14ac:dyDescent="0.3">
      <c r="B10" s="208">
        <v>1</v>
      </c>
      <c r="C10" s="910" t="s">
        <v>171</v>
      </c>
      <c r="D10" s="209" t="s">
        <v>66</v>
      </c>
      <c r="E10" s="209"/>
      <c r="F10" s="902">
        <f>SUM(F11:F13)</f>
        <v>131.39565737090265</v>
      </c>
      <c r="G10" s="902">
        <f>SUM(G11:G13)</f>
        <v>124.35560354858053</v>
      </c>
      <c r="H10" s="902">
        <f>G10-F10</f>
        <v>-7.0400538223221218</v>
      </c>
      <c r="I10" s="902"/>
      <c r="J10" s="902">
        <f>SUM(J11:J13)</f>
        <v>137.12007240358145</v>
      </c>
      <c r="K10" s="931">
        <f>SUM(K11:K13)</f>
        <v>168.64521897019165</v>
      </c>
      <c r="L10" s="902">
        <f>K10-J10</f>
        <v>31.525146566610204</v>
      </c>
      <c r="M10" s="507"/>
      <c r="N10" s="902">
        <f>SUM(N11:N13)</f>
        <v>143.09387868801107</v>
      </c>
      <c r="O10" s="902">
        <f>'F3.1'!M10/2</f>
        <v>76.700255819001512</v>
      </c>
      <c r="P10" s="902">
        <f>'F3.1'!M10/2</f>
        <v>76.700255819001512</v>
      </c>
      <c r="Q10" s="480">
        <f>O10+P10</f>
        <v>153.40051163800302</v>
      </c>
      <c r="R10" s="507">
        <f>Q10-N10</f>
        <v>10.30663294999195</v>
      </c>
      <c r="S10" s="507">
        <f>S11</f>
        <v>146.99642958459924</v>
      </c>
      <c r="T10" s="507">
        <f t="shared" ref="T10:W10" si="0">T11</f>
        <v>153.40051163800302</v>
      </c>
      <c r="U10" s="507">
        <f t="shared" si="0"/>
        <v>160.08359548119603</v>
      </c>
      <c r="V10" s="507">
        <f t="shared" si="0"/>
        <v>167.05783617372563</v>
      </c>
      <c r="W10" s="507">
        <f t="shared" si="0"/>
        <v>174.33591832540745</v>
      </c>
      <c r="X10" s="911"/>
    </row>
    <row r="11" spans="2:24" s="93" customFormat="1" ht="18.649999999999999" customHeight="1" x14ac:dyDescent="0.25">
      <c r="B11" s="208">
        <f>B10+1</f>
        <v>2</v>
      </c>
      <c r="C11" s="92" t="s">
        <v>172</v>
      </c>
      <c r="D11" s="209" t="s">
        <v>67</v>
      </c>
      <c r="E11" s="1557">
        <v>114.73054993755282</v>
      </c>
      <c r="F11" s="1560">
        <v>131.39565737090265</v>
      </c>
      <c r="G11" s="508">
        <f>'F3.2'!D36</f>
        <v>86.086682726991199</v>
      </c>
      <c r="H11" s="1560">
        <f>SUM(G11:G13)-F11</f>
        <v>-7.0400538223221218</v>
      </c>
      <c r="I11" s="1557">
        <v>127.83390795006468</v>
      </c>
      <c r="J11" s="1560">
        <v>137.12007240358145</v>
      </c>
      <c r="K11" s="508">
        <f>'F3.2'!E36</f>
        <v>112.51871209392135</v>
      </c>
      <c r="L11" s="1560">
        <f>SUM(K11:K13)-J11</f>
        <v>31.525146566610204</v>
      </c>
      <c r="M11" s="1557">
        <v>120.42800075997927</v>
      </c>
      <c r="N11" s="1560">
        <v>143.09387868801107</v>
      </c>
      <c r="O11" s="508">
        <f>'F3.2'!F36</f>
        <v>44.087455362471125</v>
      </c>
      <c r="P11" s="508">
        <f>'F3.2'!G36</f>
        <v>43.242330848185404</v>
      </c>
      <c r="Q11" s="508">
        <f>SUM(O11:P11)</f>
        <v>87.329786210656522</v>
      </c>
      <c r="R11" s="1560">
        <f>SUM(Q11:Q13)-N11</f>
        <v>-11.278610062399224</v>
      </c>
      <c r="S11" s="1561">
        <f>'F3.1'!$K$10</f>
        <v>146.99642958459924</v>
      </c>
      <c r="T11" s="1561">
        <f>'F3.1'!$M$10</f>
        <v>153.40051163800302</v>
      </c>
      <c r="U11" s="1561">
        <f>'F3.1'!$O$10</f>
        <v>160.08359548119603</v>
      </c>
      <c r="V11" s="1561">
        <f>'F3.1'!$Q$10</f>
        <v>167.05783617372563</v>
      </c>
      <c r="W11" s="1561">
        <f>'F3.1'!$S$10</f>
        <v>174.33591832540745</v>
      </c>
      <c r="X11" s="1564"/>
    </row>
    <row r="12" spans="2:24" s="93" customFormat="1" ht="18.649999999999999" customHeight="1" x14ac:dyDescent="0.25">
      <c r="B12" s="208">
        <f t="shared" ref="B12:B17" si="1">B11+1</f>
        <v>3</v>
      </c>
      <c r="C12" s="92" t="s">
        <v>174</v>
      </c>
      <c r="D12" s="209" t="s">
        <v>68</v>
      </c>
      <c r="E12" s="1558"/>
      <c r="F12" s="1560"/>
      <c r="G12" s="508">
        <f>'F3.3'!D44</f>
        <v>13.101523734589332</v>
      </c>
      <c r="H12" s="1560"/>
      <c r="I12" s="1558"/>
      <c r="J12" s="1560"/>
      <c r="K12" s="508">
        <f>'F3.3'!E44</f>
        <v>15.407629327270318</v>
      </c>
      <c r="L12" s="1560"/>
      <c r="M12" s="1558"/>
      <c r="N12" s="1560"/>
      <c r="O12" s="508">
        <f>'F3.3'!F44</f>
        <v>5.544130566311571</v>
      </c>
      <c r="P12" s="508">
        <f>'F3.3'!G44</f>
        <v>5.471755592168714</v>
      </c>
      <c r="Q12" s="508">
        <f>SUM(O12:P12)</f>
        <v>11.015886158480285</v>
      </c>
      <c r="R12" s="1560"/>
      <c r="S12" s="1562"/>
      <c r="T12" s="1562"/>
      <c r="U12" s="1562"/>
      <c r="V12" s="1562"/>
      <c r="W12" s="1562"/>
      <c r="X12" s="1564"/>
    </row>
    <row r="13" spans="2:24" s="93" customFormat="1" ht="18.649999999999999" customHeight="1" x14ac:dyDescent="0.25">
      <c r="B13" s="208">
        <f t="shared" si="1"/>
        <v>4</v>
      </c>
      <c r="C13" s="92" t="s">
        <v>173</v>
      </c>
      <c r="D13" s="209" t="s">
        <v>69</v>
      </c>
      <c r="E13" s="1559"/>
      <c r="F13" s="1560"/>
      <c r="G13" s="508">
        <f>'F3.4'!D21</f>
        <v>25.167397087000001</v>
      </c>
      <c r="H13" s="1560"/>
      <c r="I13" s="1559"/>
      <c r="J13" s="1560"/>
      <c r="K13" s="508">
        <f>'F3.4'!E21</f>
        <v>40.718877548999998</v>
      </c>
      <c r="L13" s="1560"/>
      <c r="M13" s="1559"/>
      <c r="N13" s="1560"/>
      <c r="O13" s="508">
        <f>'F3.4'!F21</f>
        <v>16.734798128237532</v>
      </c>
      <c r="P13" s="508">
        <f>'F3.4'!G21</f>
        <v>16.734798128237529</v>
      </c>
      <c r="Q13" s="508">
        <f>SUM(O13:P13)</f>
        <v>33.469596256475057</v>
      </c>
      <c r="R13" s="1560"/>
      <c r="S13" s="1563"/>
      <c r="T13" s="1563"/>
      <c r="U13" s="1563"/>
      <c r="V13" s="1563"/>
      <c r="W13" s="1563"/>
      <c r="X13" s="1564"/>
    </row>
    <row r="14" spans="2:24" s="93" customFormat="1" ht="18.649999999999999" customHeight="1" x14ac:dyDescent="0.25">
      <c r="B14" s="208">
        <f t="shared" si="1"/>
        <v>5</v>
      </c>
      <c r="C14" s="440" t="s">
        <v>808</v>
      </c>
      <c r="D14" s="209"/>
      <c r="E14" s="901"/>
      <c r="F14" s="902"/>
      <c r="G14" s="508"/>
      <c r="H14" s="902"/>
      <c r="I14" s="901"/>
      <c r="J14" s="902">
        <f>K14</f>
        <v>21.693942429605553</v>
      </c>
      <c r="K14" s="508">
        <v>21.693942429605553</v>
      </c>
      <c r="L14" s="902"/>
      <c r="M14" s="901"/>
      <c r="N14" s="902">
        <f>Q14</f>
        <v>22.639065979705489</v>
      </c>
      <c r="O14" s="508">
        <v>11.319532989852744</v>
      </c>
      <c r="P14" s="508">
        <f>O14</f>
        <v>11.319532989852744</v>
      </c>
      <c r="Q14" s="508">
        <f>SUM(O14:P14)</f>
        <v>22.639065979705489</v>
      </c>
      <c r="R14" s="902"/>
      <c r="S14" s="902">
        <f>'F3.1'!$K$13</f>
        <v>23.625365011295337</v>
      </c>
      <c r="T14" s="902">
        <f>'F3.1'!$M$13</f>
        <v>24.654633385374275</v>
      </c>
      <c r="U14" s="902">
        <f>'F3.1'!$O$13</f>
        <v>25.728743114724239</v>
      </c>
      <c r="V14" s="902">
        <f>'F3.1'!$Q$13</f>
        <v>26.849647768689412</v>
      </c>
      <c r="W14" s="902">
        <f>'F3.1'!$S$13</f>
        <v>28.019386026289183</v>
      </c>
      <c r="X14" s="912"/>
    </row>
    <row r="15" spans="2:24" s="93" customFormat="1" ht="18.649999999999999" customHeight="1" x14ac:dyDescent="0.25">
      <c r="B15" s="208">
        <f t="shared" si="1"/>
        <v>6</v>
      </c>
      <c r="C15" s="92" t="s">
        <v>175</v>
      </c>
      <c r="D15" s="209"/>
      <c r="E15" s="479"/>
      <c r="F15" s="479"/>
      <c r="G15" s="479">
        <f>'F3.3'!D45+'F3.2'!D37</f>
        <v>0</v>
      </c>
      <c r="H15" s="479">
        <f>G15-F15</f>
        <v>0</v>
      </c>
      <c r="I15" s="479"/>
      <c r="J15" s="479"/>
      <c r="K15" s="479">
        <f>'F3.3'!E45+'F3.2'!E37</f>
        <v>0</v>
      </c>
      <c r="L15" s="479">
        <f>K15-J15</f>
        <v>0</v>
      </c>
      <c r="M15" s="479"/>
      <c r="N15" s="508"/>
      <c r="O15" s="479">
        <f>'F3.3'!F45+'F3.2'!F37</f>
        <v>0</v>
      </c>
      <c r="P15" s="479">
        <f>'F3.3'!G45+'F3.2'!G37</f>
        <v>0</v>
      </c>
      <c r="Q15" s="508">
        <f>O15+P15</f>
        <v>0</v>
      </c>
      <c r="R15" s="508">
        <f>Q15-N15</f>
        <v>0</v>
      </c>
      <c r="S15" s="508"/>
      <c r="T15" s="508"/>
      <c r="U15" s="508"/>
      <c r="V15" s="508"/>
      <c r="W15" s="508"/>
      <c r="X15" s="92"/>
    </row>
    <row r="16" spans="2:24" s="93" customFormat="1" ht="18.649999999999999" customHeight="1" x14ac:dyDescent="0.25">
      <c r="B16" s="208">
        <f t="shared" si="1"/>
        <v>7</v>
      </c>
      <c r="C16" s="92" t="s">
        <v>593</v>
      </c>
      <c r="D16" s="209"/>
      <c r="E16" s="479"/>
      <c r="F16" s="479"/>
      <c r="G16" s="479"/>
      <c r="H16" s="479">
        <f>G16-F16</f>
        <v>0</v>
      </c>
      <c r="I16" s="479"/>
      <c r="J16" s="479"/>
      <c r="K16" s="479"/>
      <c r="L16" s="479">
        <f>K16-J16</f>
        <v>0</v>
      </c>
      <c r="M16" s="479"/>
      <c r="N16" s="508"/>
      <c r="O16" s="508"/>
      <c r="P16" s="508"/>
      <c r="Q16" s="508">
        <f>O16+P16</f>
        <v>0</v>
      </c>
      <c r="R16" s="508">
        <f>Q16-N16</f>
        <v>0</v>
      </c>
      <c r="S16" s="508"/>
      <c r="T16" s="508"/>
      <c r="U16" s="508"/>
      <c r="V16" s="508"/>
      <c r="W16" s="508"/>
      <c r="X16" s="92"/>
    </row>
    <row r="17" spans="1:24" s="581" customFormat="1" ht="33.65" customHeight="1" x14ac:dyDescent="0.25">
      <c r="B17" s="208">
        <f t="shared" si="1"/>
        <v>8</v>
      </c>
      <c r="C17" s="210" t="s">
        <v>396</v>
      </c>
      <c r="D17" s="211"/>
      <c r="E17" s="510">
        <f>SUM(E11:E14)-E15+E16</f>
        <v>114.73054993755282</v>
      </c>
      <c r="F17" s="510">
        <f>SUM(F11:F14)-F15+F16</f>
        <v>131.39565737090265</v>
      </c>
      <c r="G17" s="510">
        <f>SUM(G11:G14)-G15+G16</f>
        <v>124.35560354858053</v>
      </c>
      <c r="H17" s="510">
        <f t="shared" ref="H17:W17" si="2">SUM(H11:H14)-H15+H16</f>
        <v>-7.0400538223221218</v>
      </c>
      <c r="I17" s="510">
        <f t="shared" si="2"/>
        <v>127.83390795006468</v>
      </c>
      <c r="J17" s="510">
        <f t="shared" si="2"/>
        <v>158.814014833187</v>
      </c>
      <c r="K17" s="510">
        <f t="shared" si="2"/>
        <v>190.33916139979721</v>
      </c>
      <c r="L17" s="510">
        <f t="shared" si="2"/>
        <v>31.525146566610204</v>
      </c>
      <c r="M17" s="510">
        <f t="shared" si="2"/>
        <v>120.42800075997927</v>
      </c>
      <c r="N17" s="510">
        <f t="shared" si="2"/>
        <v>165.73294466771657</v>
      </c>
      <c r="O17" s="510">
        <f t="shared" si="2"/>
        <v>77.685917046872973</v>
      </c>
      <c r="P17" s="510">
        <f t="shared" si="2"/>
        <v>76.768417558444384</v>
      </c>
      <c r="Q17" s="510">
        <f t="shared" si="2"/>
        <v>154.45433460531734</v>
      </c>
      <c r="R17" s="510">
        <f t="shared" si="2"/>
        <v>-11.278610062399224</v>
      </c>
      <c r="S17" s="510">
        <f>SUM(S11:S14)-S15+S16</f>
        <v>170.62179459589458</v>
      </c>
      <c r="T17" s="510">
        <f t="shared" si="2"/>
        <v>178.05514502337729</v>
      </c>
      <c r="U17" s="510">
        <f t="shared" si="2"/>
        <v>185.81233859592027</v>
      </c>
      <c r="V17" s="510">
        <f t="shared" si="2"/>
        <v>193.90748394241504</v>
      </c>
      <c r="W17" s="510">
        <f t="shared" si="2"/>
        <v>202.35530435169665</v>
      </c>
      <c r="X17" s="212"/>
    </row>
    <row r="18" spans="1:24" s="2" customFormat="1" ht="15.75" customHeight="1" x14ac:dyDescent="0.3">
      <c r="A18" s="11"/>
      <c r="B18" s="5"/>
      <c r="C18" s="1"/>
      <c r="D18" s="1"/>
      <c r="E18" s="1"/>
      <c r="F18" s="1"/>
      <c r="G18" s="553"/>
      <c r="H18" s="554"/>
      <c r="I18" s="554"/>
      <c r="K18" s="553"/>
      <c r="M18" s="1"/>
      <c r="N18" s="1"/>
      <c r="O18" s="1"/>
      <c r="P18" s="1"/>
      <c r="Q18" s="1"/>
      <c r="R18" s="1"/>
      <c r="S18" s="1"/>
      <c r="T18" s="1"/>
      <c r="U18" s="1"/>
      <c r="V18" s="1"/>
      <c r="W18" s="1"/>
      <c r="X18" s="5"/>
    </row>
    <row r="19" spans="1:24" x14ac:dyDescent="0.3">
      <c r="B19" s="913"/>
      <c r="C19" s="913" t="s">
        <v>37</v>
      </c>
      <c r="D19" s="913"/>
      <c r="E19" s="914" t="str">
        <f>S8</f>
        <v>Projection</v>
      </c>
      <c r="F19" s="914" t="str">
        <f>T8</f>
        <v>Projection</v>
      </c>
      <c r="G19" s="914" t="str">
        <f>U8</f>
        <v>Projection</v>
      </c>
      <c r="H19" s="914" t="str">
        <f>V8</f>
        <v>Projection</v>
      </c>
      <c r="I19" s="914" t="str">
        <f>W8</f>
        <v>Projection</v>
      </c>
      <c r="K19" s="915"/>
    </row>
    <row r="20" spans="1:24" ht="28" x14ac:dyDescent="0.3">
      <c r="B20" s="10"/>
      <c r="C20" s="916" t="s">
        <v>1429</v>
      </c>
      <c r="D20" s="9"/>
      <c r="E20" s="9"/>
      <c r="F20" s="9"/>
      <c r="G20" s="9"/>
      <c r="H20" s="9"/>
      <c r="I20" s="9"/>
      <c r="K20" s="915"/>
    </row>
    <row r="21" spans="1:24" x14ac:dyDescent="0.3">
      <c r="B21" s="9"/>
      <c r="C21" s="9" t="s">
        <v>1430</v>
      </c>
      <c r="D21" s="9"/>
      <c r="E21" s="9"/>
      <c r="F21" s="9"/>
      <c r="G21" s="9"/>
      <c r="H21" s="9"/>
      <c r="I21" s="9"/>
      <c r="K21" s="915"/>
    </row>
    <row r="22" spans="1:24" x14ac:dyDescent="0.3">
      <c r="B22" s="9"/>
      <c r="C22" s="9" t="s">
        <v>1431</v>
      </c>
      <c r="D22" s="9"/>
      <c r="E22" s="9"/>
      <c r="F22" s="9"/>
      <c r="G22" s="9"/>
      <c r="H22" s="9"/>
      <c r="I22" s="9"/>
      <c r="K22" s="915"/>
    </row>
    <row r="23" spans="1:24" x14ac:dyDescent="0.3">
      <c r="B23" s="39"/>
      <c r="C23" s="39" t="s">
        <v>1432</v>
      </c>
      <c r="D23" s="39"/>
      <c r="E23" s="512">
        <f>SUM(E21:E22)</f>
        <v>0</v>
      </c>
      <c r="F23" s="512">
        <f>E23+SUM(F21:F22)</f>
        <v>0</v>
      </c>
      <c r="G23" s="512">
        <f>F23+SUM(G21:G22)</f>
        <v>0</v>
      </c>
      <c r="H23" s="512">
        <f>G23+SUM(H21:H22)</f>
        <v>0</v>
      </c>
      <c r="I23" s="512">
        <f>H23+SUM(I21:I22)</f>
        <v>0</v>
      </c>
      <c r="K23" s="915"/>
    </row>
    <row r="24" spans="1:24" x14ac:dyDescent="0.3">
      <c r="B24" s="917">
        <v>0.02</v>
      </c>
      <c r="C24" s="39" t="s">
        <v>1429</v>
      </c>
      <c r="D24" s="39"/>
      <c r="E24" s="512">
        <f>E23*$B$24</f>
        <v>0</v>
      </c>
      <c r="F24" s="512">
        <f t="shared" ref="F24:I24" si="3">F23*$B$24</f>
        <v>0</v>
      </c>
      <c r="G24" s="512">
        <f t="shared" si="3"/>
        <v>0</v>
      </c>
      <c r="H24" s="512">
        <f t="shared" si="3"/>
        <v>0</v>
      </c>
      <c r="I24" s="512">
        <f t="shared" si="3"/>
        <v>0</v>
      </c>
      <c r="K24" s="915"/>
    </row>
  </sheetData>
  <mergeCells count="25">
    <mergeCell ref="B2:X2"/>
    <mergeCell ref="B3:X3"/>
    <mergeCell ref="B4:X4"/>
    <mergeCell ref="D7:D9"/>
    <mergeCell ref="C7:C9"/>
    <mergeCell ref="B7:B9"/>
    <mergeCell ref="X7:X9"/>
    <mergeCell ref="E7:H7"/>
    <mergeCell ref="I7:L7"/>
    <mergeCell ref="M7:R7"/>
    <mergeCell ref="T11:T13"/>
    <mergeCell ref="U11:U13"/>
    <mergeCell ref="V11:V13"/>
    <mergeCell ref="W11:W13"/>
    <mergeCell ref="X11:X13"/>
    <mergeCell ref="L11:L13"/>
    <mergeCell ref="M11:M13"/>
    <mergeCell ref="N11:N13"/>
    <mergeCell ref="R11:R13"/>
    <mergeCell ref="S11:S13"/>
    <mergeCell ref="E11:E13"/>
    <mergeCell ref="F11:F13"/>
    <mergeCell ref="H11:H13"/>
    <mergeCell ref="I11:I13"/>
    <mergeCell ref="J11:J13"/>
  </mergeCells>
  <pageMargins left="1.02" right="0.25" top="1" bottom="1" header="0.25" footer="0.25"/>
  <pageSetup paperSize="9" scale="36" orientation="landscape" r:id="rId1"/>
  <headerFooter alignWithMargins="0">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B67"/>
  <sheetViews>
    <sheetView showGridLines="0" view="pageBreakPreview" topLeftCell="A31" zoomScale="80" zoomScaleNormal="80" zoomScaleSheetLayoutView="80" workbookViewId="0">
      <selection activeCell="B57" sqref="B57:C57"/>
    </sheetView>
  </sheetViews>
  <sheetFormatPr defaultColWidth="9.36328125" defaultRowHeight="14" x14ac:dyDescent="0.3"/>
  <cols>
    <col min="1" max="1" width="9.36328125" style="1"/>
    <col min="2" max="2" width="7.36328125" style="1" customWidth="1"/>
    <col min="3" max="3" width="44.6328125" style="1" customWidth="1"/>
    <col min="4" max="4" width="15.1796875" style="1" customWidth="1"/>
    <col min="5" max="6" width="15" style="1" customWidth="1"/>
    <col min="7" max="7" width="16.6328125" style="1" bestFit="1" customWidth="1"/>
    <col min="8" max="8" width="16.6328125" style="1" customWidth="1"/>
    <col min="9" max="12" width="15" style="1" customWidth="1"/>
    <col min="13" max="13" width="18.81640625" style="1" customWidth="1"/>
    <col min="14" max="14" width="18" style="1" customWidth="1"/>
    <col min="15" max="15" width="26.1796875" style="1" bestFit="1" customWidth="1"/>
    <col min="16" max="17" width="15" style="1" customWidth="1"/>
    <col min="18" max="18" width="17.36328125" style="1" customWidth="1"/>
    <col min="19" max="19" width="19.36328125" style="1" customWidth="1"/>
    <col min="20" max="24" width="15" style="1" customWidth="1"/>
    <col min="25" max="16384" width="9.36328125" style="1"/>
  </cols>
  <sheetData>
    <row r="1" spans="2:28" x14ac:dyDescent="0.3">
      <c r="B1" s="1468" t="str">
        <f>Index!B2</f>
        <v xml:space="preserve">      Maharashtra State Power Generation Company Ltd.</v>
      </c>
      <c r="C1" s="1468"/>
      <c r="D1" s="1468"/>
      <c r="E1" s="1468"/>
      <c r="F1" s="1468"/>
      <c r="G1" s="1468"/>
      <c r="H1" s="1468"/>
      <c r="I1" s="1468"/>
      <c r="J1" s="1468"/>
      <c r="K1" s="1468"/>
      <c r="L1" s="1468"/>
      <c r="M1" s="1468"/>
      <c r="N1" s="1468"/>
      <c r="O1" s="1468"/>
      <c r="P1" s="1468"/>
      <c r="Q1" s="1468"/>
      <c r="R1" s="1468"/>
      <c r="S1" s="268"/>
      <c r="T1" s="268"/>
      <c r="U1" s="219"/>
      <c r="V1" s="247"/>
    </row>
    <row r="2" spans="2:28" x14ac:dyDescent="0.3">
      <c r="B2" s="1468" t="str">
        <f>Index!B3</f>
        <v>MYT Petition Formats for SHP Hydro</v>
      </c>
      <c r="C2" s="1468"/>
      <c r="D2" s="1468"/>
      <c r="E2" s="1468"/>
      <c r="F2" s="1468"/>
      <c r="G2" s="1468"/>
      <c r="H2" s="1468"/>
      <c r="I2" s="1468"/>
      <c r="J2" s="1468"/>
      <c r="K2" s="1468"/>
      <c r="L2" s="1468"/>
      <c r="M2" s="1468"/>
      <c r="N2" s="1468"/>
      <c r="O2" s="1468"/>
      <c r="P2" s="1468"/>
      <c r="Q2" s="1468"/>
      <c r="R2" s="1468"/>
      <c r="S2" s="269"/>
      <c r="T2" s="269"/>
      <c r="U2" s="62"/>
      <c r="V2" s="248"/>
    </row>
    <row r="3" spans="2:28" x14ac:dyDescent="0.3">
      <c r="B3" s="1470" t="s">
        <v>668</v>
      </c>
      <c r="C3" s="1470"/>
      <c r="D3" s="1470"/>
      <c r="E3" s="1470"/>
      <c r="F3" s="1470"/>
      <c r="G3" s="1470"/>
      <c r="H3" s="1470"/>
      <c r="I3" s="1470"/>
      <c r="J3" s="1470"/>
      <c r="K3" s="1470"/>
      <c r="L3" s="1470"/>
      <c r="M3" s="1470"/>
      <c r="N3" s="1470"/>
      <c r="O3" s="1470"/>
      <c r="P3" s="1470"/>
      <c r="Q3" s="1470"/>
      <c r="R3" s="1470"/>
      <c r="S3" s="269"/>
      <c r="T3" s="269"/>
      <c r="U3" s="62"/>
      <c r="V3" s="248"/>
    </row>
    <row r="4" spans="2:28" x14ac:dyDescent="0.3">
      <c r="B4" s="94"/>
      <c r="C4" s="94"/>
      <c r="D4" s="561"/>
      <c r="E4" s="94"/>
      <c r="F4" s="94"/>
      <c r="G4" s="94"/>
      <c r="H4" s="561"/>
      <c r="I4" s="94"/>
      <c r="J4" s="94"/>
      <c r="K4" s="329"/>
      <c r="L4" s="561"/>
      <c r="M4" s="329"/>
      <c r="N4" s="329"/>
      <c r="O4" s="329"/>
      <c r="P4" s="561"/>
      <c r="Q4" s="94"/>
      <c r="R4" s="94"/>
      <c r="S4" s="269"/>
      <c r="T4" s="269"/>
      <c r="U4" s="94"/>
      <c r="V4" s="248"/>
    </row>
    <row r="5" spans="2:28" x14ac:dyDescent="0.3">
      <c r="B5" s="1582" t="s">
        <v>176</v>
      </c>
      <c r="C5" s="1582"/>
      <c r="D5" s="1582"/>
      <c r="E5" s="1582"/>
      <c r="F5" s="1582"/>
      <c r="G5" s="1582"/>
      <c r="H5" s="1582"/>
      <c r="I5" s="1582"/>
      <c r="J5" s="1582"/>
      <c r="K5" s="1582"/>
      <c r="L5" s="1582"/>
      <c r="M5" s="1582"/>
      <c r="N5" s="1582"/>
      <c r="O5" s="1582"/>
      <c r="P5" s="1582"/>
      <c r="Q5" s="1582"/>
      <c r="R5" s="1582"/>
      <c r="S5" s="1582"/>
      <c r="T5" s="1582"/>
      <c r="U5" s="1582"/>
      <c r="V5" s="250"/>
    </row>
    <row r="6" spans="2:28" x14ac:dyDescent="0.3">
      <c r="U6" s="21" t="s">
        <v>10</v>
      </c>
      <c r="V6" s="21"/>
    </row>
    <row r="7" spans="2:28" s="98" customFormat="1" ht="21.65" customHeight="1" x14ac:dyDescent="0.25">
      <c r="B7" s="1581" t="s">
        <v>343</v>
      </c>
      <c r="C7" s="1581" t="s">
        <v>37</v>
      </c>
      <c r="D7" s="1586" t="s">
        <v>1433</v>
      </c>
      <c r="E7" s="1587"/>
      <c r="F7" s="1587"/>
      <c r="G7" s="1587"/>
      <c r="H7" s="1588"/>
      <c r="I7" s="1581" t="s">
        <v>1434</v>
      </c>
      <c r="J7" s="905" t="s">
        <v>1435</v>
      </c>
      <c r="K7" s="1589" t="s">
        <v>1410</v>
      </c>
      <c r="L7" s="1589"/>
      <c r="M7" s="1589"/>
      <c r="N7" s="1589"/>
      <c r="O7" s="1589"/>
      <c r="P7" s="1589"/>
      <c r="Q7" s="1589"/>
      <c r="R7" s="1589"/>
      <c r="S7" s="1589"/>
      <c r="T7" s="1589"/>
      <c r="U7" s="1590" t="s">
        <v>27</v>
      </c>
    </row>
    <row r="8" spans="2:28" s="98" customFormat="1" ht="42" customHeight="1" x14ac:dyDescent="0.25">
      <c r="B8" s="1581"/>
      <c r="C8" s="1581"/>
      <c r="D8" s="905" t="s">
        <v>326</v>
      </c>
      <c r="E8" s="905" t="s">
        <v>517</v>
      </c>
      <c r="F8" s="905" t="s">
        <v>518</v>
      </c>
      <c r="G8" s="905" t="s">
        <v>519</v>
      </c>
      <c r="H8" s="905" t="s">
        <v>520</v>
      </c>
      <c r="I8" s="1581"/>
      <c r="J8" s="905" t="s">
        <v>521</v>
      </c>
      <c r="K8" s="1593" t="s">
        <v>940</v>
      </c>
      <c r="L8" s="1594"/>
      <c r="M8" s="1593" t="s">
        <v>941</v>
      </c>
      <c r="N8" s="1594"/>
      <c r="O8" s="1593" t="s">
        <v>945</v>
      </c>
      <c r="P8" s="1594"/>
      <c r="Q8" s="1593" t="s">
        <v>942</v>
      </c>
      <c r="R8" s="1594"/>
      <c r="S8" s="1593" t="s">
        <v>944</v>
      </c>
      <c r="T8" s="1594"/>
      <c r="U8" s="1591"/>
      <c r="V8" s="412"/>
      <c r="W8" s="412"/>
    </row>
    <row r="9" spans="2:28" s="98" customFormat="1" ht="42" x14ac:dyDescent="0.25">
      <c r="B9" s="1581"/>
      <c r="C9" s="1581"/>
      <c r="D9" s="900" t="s">
        <v>81</v>
      </c>
      <c r="E9" s="900" t="s">
        <v>82</v>
      </c>
      <c r="F9" s="900" t="s">
        <v>1436</v>
      </c>
      <c r="G9" s="900" t="s">
        <v>397</v>
      </c>
      <c r="H9" s="900" t="s">
        <v>1437</v>
      </c>
      <c r="I9" s="900" t="s">
        <v>1438</v>
      </c>
      <c r="J9" s="918" t="s">
        <v>415</v>
      </c>
      <c r="K9" s="905" t="s">
        <v>1411</v>
      </c>
      <c r="L9" s="900" t="s">
        <v>21</v>
      </c>
      <c r="M9" s="905" t="s">
        <v>1411</v>
      </c>
      <c r="N9" s="900" t="s">
        <v>21</v>
      </c>
      <c r="O9" s="905" t="s">
        <v>1411</v>
      </c>
      <c r="P9" s="900" t="s">
        <v>21</v>
      </c>
      <c r="Q9" s="905" t="s">
        <v>1411</v>
      </c>
      <c r="R9" s="900" t="s">
        <v>21</v>
      </c>
      <c r="S9" s="905" t="s">
        <v>1411</v>
      </c>
      <c r="T9" s="900" t="s">
        <v>21</v>
      </c>
      <c r="U9" s="1592"/>
      <c r="V9" s="513" t="s">
        <v>418</v>
      </c>
      <c r="W9" s="514" t="s">
        <v>1409</v>
      </c>
      <c r="X9" s="451"/>
    </row>
    <row r="10" spans="2:28" s="2" customFormat="1" x14ac:dyDescent="0.3">
      <c r="B10" s="492">
        <v>1</v>
      </c>
      <c r="C10" s="57" t="s">
        <v>177</v>
      </c>
      <c r="D10" s="1574">
        <v>98.310341810037784</v>
      </c>
      <c r="E10" s="1571">
        <v>110.00470775827161</v>
      </c>
      <c r="F10" s="1571">
        <v>125.27754749253151</v>
      </c>
      <c r="G10" s="1571">
        <f>SUM('F13'!D11:D12)</f>
        <v>131.39565737090265</v>
      </c>
      <c r="H10" s="1577">
        <f>'F13'!D38</f>
        <v>137.12007240358145</v>
      </c>
      <c r="I10" s="1571">
        <f>AVERAGE(D10:H12)</f>
        <v>120.421665367065</v>
      </c>
      <c r="J10" s="1596">
        <f>I16*(1+$W$10)*(1+$W$11)*(1+$W$12)</f>
        <v>140.85970170432569</v>
      </c>
      <c r="K10" s="1595">
        <f>J10*(1+$W$13)</f>
        <v>146.99642958459924</v>
      </c>
      <c r="L10" s="1595">
        <f>K10</f>
        <v>146.99642958459924</v>
      </c>
      <c r="M10" s="1595">
        <f>K10*(1+$W$14)</f>
        <v>153.40051163800302</v>
      </c>
      <c r="N10" s="1595">
        <f>M10</f>
        <v>153.40051163800302</v>
      </c>
      <c r="O10" s="1595">
        <f>M10*(1+$W$15)</f>
        <v>160.08359548119603</v>
      </c>
      <c r="P10" s="1595">
        <f>O10</f>
        <v>160.08359548119603</v>
      </c>
      <c r="Q10" s="1595">
        <f>O10*(1+$W$16)</f>
        <v>167.05783617372563</v>
      </c>
      <c r="R10" s="1595">
        <f>Q10</f>
        <v>167.05783617372563</v>
      </c>
      <c r="S10" s="1595">
        <f>Q10*(1+$W$17)</f>
        <v>174.33591832540745</v>
      </c>
      <c r="T10" s="1595">
        <f>S10</f>
        <v>174.33591832540745</v>
      </c>
      <c r="U10" s="3"/>
      <c r="V10" s="884" t="s">
        <v>519</v>
      </c>
      <c r="W10" s="885">
        <v>4.8836443567319074E-2</v>
      </c>
      <c r="X10" s="919"/>
    </row>
    <row r="11" spans="2:28" s="413" customFormat="1" ht="29" customHeight="1" x14ac:dyDescent="0.3">
      <c r="B11" s="492">
        <f>B10+1</f>
        <v>2</v>
      </c>
      <c r="C11" s="78" t="s">
        <v>399</v>
      </c>
      <c r="D11" s="1575"/>
      <c r="E11" s="1572"/>
      <c r="F11" s="1572"/>
      <c r="G11" s="1572"/>
      <c r="H11" s="1578"/>
      <c r="I11" s="1572"/>
      <c r="J11" s="1596"/>
      <c r="K11" s="1595"/>
      <c r="L11" s="1595"/>
      <c r="M11" s="1595"/>
      <c r="N11" s="1595"/>
      <c r="O11" s="1595"/>
      <c r="P11" s="1595"/>
      <c r="Q11" s="1595"/>
      <c r="R11" s="1595"/>
      <c r="S11" s="1595"/>
      <c r="T11" s="1595"/>
      <c r="U11" s="888"/>
      <c r="V11" s="884" t="s">
        <v>520</v>
      </c>
      <c r="W11" s="886">
        <v>4.3566242197182838E-2</v>
      </c>
      <c r="X11" s="919"/>
    </row>
    <row r="12" spans="2:28" s="2" customFormat="1" x14ac:dyDescent="0.3">
      <c r="B12" s="492">
        <f>B11+1</f>
        <v>3</v>
      </c>
      <c r="C12" s="57" t="s">
        <v>473</v>
      </c>
      <c r="D12" s="1575"/>
      <c r="E12" s="1572"/>
      <c r="F12" s="1572"/>
      <c r="G12" s="1572"/>
      <c r="H12" s="1578"/>
      <c r="I12" s="1572"/>
      <c r="J12" s="1596"/>
      <c r="K12" s="1595"/>
      <c r="L12" s="1595"/>
      <c r="M12" s="1595"/>
      <c r="N12" s="1595"/>
      <c r="O12" s="1595"/>
      <c r="P12" s="1595"/>
      <c r="Q12" s="1595"/>
      <c r="R12" s="1595"/>
      <c r="S12" s="1595"/>
      <c r="T12" s="1595"/>
      <c r="U12" s="888"/>
      <c r="V12" s="884" t="s">
        <v>521</v>
      </c>
      <c r="W12" s="887">
        <f>W11</f>
        <v>4.3566242197182838E-2</v>
      </c>
      <c r="X12" s="919"/>
    </row>
    <row r="13" spans="2:28" s="2" customFormat="1" ht="28" x14ac:dyDescent="0.3">
      <c r="B13" s="492">
        <v>4</v>
      </c>
      <c r="C13" s="555" t="s">
        <v>938</v>
      </c>
      <c r="D13" s="1576"/>
      <c r="E13" s="1573"/>
      <c r="F13" s="1573"/>
      <c r="G13" s="1573"/>
      <c r="H13" s="1579"/>
      <c r="I13" s="1573"/>
      <c r="J13" s="920">
        <v>22.639065979705489</v>
      </c>
      <c r="K13" s="480">
        <v>23.625365011295337</v>
      </c>
      <c r="L13" s="480">
        <f>K13</f>
        <v>23.625365011295337</v>
      </c>
      <c r="M13" s="480">
        <v>24.654633385374275</v>
      </c>
      <c r="N13" s="480">
        <f>M13</f>
        <v>24.654633385374275</v>
      </c>
      <c r="O13" s="480">
        <v>25.728743114724239</v>
      </c>
      <c r="P13" s="480">
        <f>O13</f>
        <v>25.728743114724239</v>
      </c>
      <c r="Q13" s="480">
        <v>26.849647768689412</v>
      </c>
      <c r="R13" s="480">
        <f>Q13</f>
        <v>26.849647768689412</v>
      </c>
      <c r="S13" s="509">
        <v>28.019386026289183</v>
      </c>
      <c r="T13" s="480">
        <f>S13</f>
        <v>28.019386026289183</v>
      </c>
      <c r="U13" s="888"/>
      <c r="V13" s="884" t="s">
        <v>940</v>
      </c>
      <c r="W13" s="550">
        <f>W12</f>
        <v>4.3566242197182838E-2</v>
      </c>
      <c r="X13" s="919"/>
    </row>
    <row r="14" spans="2:28" s="496" customFormat="1" x14ac:dyDescent="0.3">
      <c r="B14" s="495">
        <v>5</v>
      </c>
      <c r="C14" s="357" t="s">
        <v>178</v>
      </c>
      <c r="D14" s="921">
        <f>SUM(D10:D13)</f>
        <v>98.310341810037784</v>
      </c>
      <c r="E14" s="921">
        <f t="shared" ref="E14:T14" si="0">SUM(E10:E13)</f>
        <v>110.00470775827161</v>
      </c>
      <c r="F14" s="921">
        <f t="shared" si="0"/>
        <v>125.27754749253151</v>
      </c>
      <c r="G14" s="921">
        <f t="shared" si="0"/>
        <v>131.39565737090265</v>
      </c>
      <c r="H14" s="921">
        <f t="shared" si="0"/>
        <v>137.12007240358145</v>
      </c>
      <c r="I14" s="921">
        <f t="shared" si="0"/>
        <v>120.421665367065</v>
      </c>
      <c r="J14" s="921">
        <f t="shared" si="0"/>
        <v>163.49876768403118</v>
      </c>
      <c r="K14" s="921">
        <f t="shared" si="0"/>
        <v>170.62179459589458</v>
      </c>
      <c r="L14" s="921">
        <f t="shared" si="0"/>
        <v>170.62179459589458</v>
      </c>
      <c r="M14" s="921">
        <f t="shared" si="0"/>
        <v>178.05514502337729</v>
      </c>
      <c r="N14" s="921">
        <f>SUM(N10:N13)</f>
        <v>178.05514502337729</v>
      </c>
      <c r="O14" s="921">
        <f t="shared" si="0"/>
        <v>185.81233859592027</v>
      </c>
      <c r="P14" s="921">
        <f t="shared" si="0"/>
        <v>185.81233859592027</v>
      </c>
      <c r="Q14" s="921">
        <f t="shared" si="0"/>
        <v>193.90748394241504</v>
      </c>
      <c r="R14" s="921">
        <f t="shared" si="0"/>
        <v>193.90748394241504</v>
      </c>
      <c r="S14" s="921">
        <f t="shared" si="0"/>
        <v>202.35530435169665</v>
      </c>
      <c r="T14" s="921">
        <f t="shared" si="0"/>
        <v>202.35530435169665</v>
      </c>
      <c r="U14" s="4"/>
      <c r="V14" s="884" t="s">
        <v>941</v>
      </c>
      <c r="W14" s="922">
        <f>W12</f>
        <v>4.3566242197182838E-2</v>
      </c>
      <c r="X14" s="923"/>
    </row>
    <row r="15" spans="2:28" s="2" customFormat="1" x14ac:dyDescent="0.3">
      <c r="B15" s="492">
        <f>B14+1</f>
        <v>6</v>
      </c>
      <c r="C15" s="57" t="s">
        <v>341</v>
      </c>
      <c r="D15" s="508">
        <v>11.281042882829922</v>
      </c>
      <c r="E15" s="508">
        <v>-6.7490633439187011</v>
      </c>
      <c r="F15" s="508">
        <v>4.1523976220598886</v>
      </c>
      <c r="G15" s="508">
        <f>'F13'!$H$11</f>
        <v>-4.6933692148814146</v>
      </c>
      <c r="H15" s="508">
        <f>'F13'!$H$38</f>
        <v>10.508382188870067</v>
      </c>
      <c r="I15" s="924">
        <f>AVERAGE(D15:H15)</f>
        <v>2.8998780269919524</v>
      </c>
      <c r="J15" s="92"/>
      <c r="K15" s="508"/>
      <c r="L15" s="508"/>
      <c r="M15" s="508"/>
      <c r="N15" s="508"/>
      <c r="O15" s="508"/>
      <c r="P15" s="508"/>
      <c r="Q15" s="508"/>
      <c r="R15" s="508"/>
      <c r="S15" s="508"/>
      <c r="T15" s="508"/>
      <c r="U15" s="3"/>
      <c r="V15" s="884" t="s">
        <v>945</v>
      </c>
      <c r="W15" s="922">
        <f>W12</f>
        <v>4.3566242197182838E-2</v>
      </c>
      <c r="X15" s="925"/>
    </row>
    <row r="16" spans="2:28" s="2" customFormat="1" x14ac:dyDescent="0.3">
      <c r="B16" s="492">
        <f>B15+1</f>
        <v>7</v>
      </c>
      <c r="C16" s="97" t="s">
        <v>342</v>
      </c>
      <c r="D16" s="926">
        <f>SUM(D14:D15)</f>
        <v>109.59138469286771</v>
      </c>
      <c r="E16" s="926">
        <f t="shared" ref="E16:T16" si="1">SUM(E14:E15)</f>
        <v>103.2556444143529</v>
      </c>
      <c r="F16" s="926">
        <f t="shared" si="1"/>
        <v>129.42994511459139</v>
      </c>
      <c r="G16" s="926">
        <f t="shared" si="1"/>
        <v>126.70228815602124</v>
      </c>
      <c r="H16" s="926">
        <f t="shared" si="1"/>
        <v>147.6284545924515</v>
      </c>
      <c r="I16" s="927">
        <f>AVERAGE(D16:H16)</f>
        <v>123.32154339405695</v>
      </c>
      <c r="J16" s="926">
        <f t="shared" si="1"/>
        <v>163.49876768403118</v>
      </c>
      <c r="K16" s="926">
        <f t="shared" si="1"/>
        <v>170.62179459589458</v>
      </c>
      <c r="L16" s="926">
        <f t="shared" si="1"/>
        <v>170.62179459589458</v>
      </c>
      <c r="M16" s="926">
        <f t="shared" si="1"/>
        <v>178.05514502337729</v>
      </c>
      <c r="N16" s="926">
        <f t="shared" si="1"/>
        <v>178.05514502337729</v>
      </c>
      <c r="O16" s="926">
        <f t="shared" si="1"/>
        <v>185.81233859592027</v>
      </c>
      <c r="P16" s="926">
        <f t="shared" si="1"/>
        <v>185.81233859592027</v>
      </c>
      <c r="Q16" s="926">
        <f t="shared" si="1"/>
        <v>193.90748394241504</v>
      </c>
      <c r="R16" s="926">
        <f t="shared" si="1"/>
        <v>193.90748394241504</v>
      </c>
      <c r="S16" s="926">
        <f t="shared" si="1"/>
        <v>202.35530435169665</v>
      </c>
      <c r="T16" s="926">
        <f t="shared" si="1"/>
        <v>202.35530435169665</v>
      </c>
      <c r="U16" s="1"/>
      <c r="V16" s="884" t="s">
        <v>942</v>
      </c>
      <c r="W16" s="922">
        <f>W12</f>
        <v>4.3566242197182838E-2</v>
      </c>
      <c r="X16" s="1"/>
      <c r="Y16" s="1"/>
      <c r="Z16" s="1"/>
      <c r="AA16" s="1"/>
      <c r="AB16" s="1"/>
    </row>
    <row r="17" spans="2:28" x14ac:dyDescent="0.3">
      <c r="B17" s="2"/>
      <c r="C17" s="2"/>
      <c r="D17" s="2"/>
      <c r="E17" s="2"/>
      <c r="F17" s="2"/>
      <c r="G17" s="2"/>
      <c r="H17" s="2"/>
      <c r="I17" s="2"/>
      <c r="J17" s="2"/>
      <c r="K17" s="2"/>
      <c r="L17" s="2"/>
      <c r="M17" s="2"/>
      <c r="N17" s="2"/>
      <c r="O17" s="2"/>
      <c r="P17" s="2"/>
      <c r="Q17" s="2"/>
      <c r="R17" s="2"/>
      <c r="S17" s="2"/>
      <c r="V17" s="884" t="s">
        <v>944</v>
      </c>
      <c r="W17" s="922">
        <f>W13</f>
        <v>4.3566242197182838E-2</v>
      </c>
    </row>
    <row r="18" spans="2:28" x14ac:dyDescent="0.3">
      <c r="B18" s="42" t="s">
        <v>169</v>
      </c>
    </row>
    <row r="19" spans="2:28" x14ac:dyDescent="0.3">
      <c r="B19" s="1">
        <v>1</v>
      </c>
      <c r="C19" s="1" t="s">
        <v>1634</v>
      </c>
    </row>
    <row r="20" spans="2:28" x14ac:dyDescent="0.3">
      <c r="B20" s="1">
        <v>2</v>
      </c>
      <c r="C20" s="1" t="s">
        <v>1635</v>
      </c>
    </row>
    <row r="21" spans="2:28" x14ac:dyDescent="0.3">
      <c r="B21" s="1">
        <v>3</v>
      </c>
      <c r="C21" s="1" t="s">
        <v>1636</v>
      </c>
    </row>
    <row r="22" spans="2:28" x14ac:dyDescent="0.3">
      <c r="B22" s="1">
        <v>3</v>
      </c>
      <c r="C22" s="1" t="s">
        <v>1637</v>
      </c>
    </row>
    <row r="23" spans="2:28" x14ac:dyDescent="0.3">
      <c r="K23" s="21"/>
      <c r="N23" s="21" t="s">
        <v>10</v>
      </c>
    </row>
    <row r="24" spans="2:28" ht="28.5" customHeight="1" x14ac:dyDescent="0.3">
      <c r="B24" s="1581" t="s">
        <v>343</v>
      </c>
      <c r="C24" s="1581" t="s">
        <v>37</v>
      </c>
      <c r="D24" s="928"/>
      <c r="E24" s="928"/>
      <c r="F24" s="928"/>
      <c r="G24" s="928"/>
      <c r="H24" s="928"/>
      <c r="I24" s="928"/>
      <c r="J24" s="1586" t="s">
        <v>1439</v>
      </c>
      <c r="K24" s="1587"/>
      <c r="L24" s="1587"/>
      <c r="M24" s="1587"/>
      <c r="N24" s="1588"/>
      <c r="O24" s="906" t="s">
        <v>27</v>
      </c>
    </row>
    <row r="25" spans="2:28" ht="15" x14ac:dyDescent="0.3">
      <c r="B25" s="1581"/>
      <c r="C25" s="1580"/>
      <c r="D25" s="1580" t="s">
        <v>519</v>
      </c>
      <c r="E25" s="1580"/>
      <c r="F25" s="1580" t="s">
        <v>520</v>
      </c>
      <c r="G25" s="1580"/>
      <c r="H25" s="1580" t="s">
        <v>521</v>
      </c>
      <c r="I25" s="1580"/>
      <c r="J25" s="904" t="s">
        <v>940</v>
      </c>
      <c r="K25" s="929" t="s">
        <v>941</v>
      </c>
      <c r="L25" s="929" t="s">
        <v>945</v>
      </c>
      <c r="M25" s="929" t="s">
        <v>942</v>
      </c>
      <c r="N25" s="929" t="s">
        <v>944</v>
      </c>
      <c r="O25" s="907"/>
    </row>
    <row r="26" spans="2:28" x14ac:dyDescent="0.3">
      <c r="B26" s="1581"/>
      <c r="C26" s="1580"/>
      <c r="D26" s="903" t="s">
        <v>982</v>
      </c>
      <c r="E26" s="903" t="s">
        <v>7</v>
      </c>
      <c r="F26" s="903" t="s">
        <v>982</v>
      </c>
      <c r="G26" s="903" t="s">
        <v>7</v>
      </c>
      <c r="H26" s="903" t="s">
        <v>982</v>
      </c>
      <c r="I26" s="899" t="s">
        <v>21</v>
      </c>
      <c r="J26" s="899" t="s">
        <v>21</v>
      </c>
      <c r="K26" s="899" t="s">
        <v>21</v>
      </c>
      <c r="L26" s="899" t="s">
        <v>21</v>
      </c>
      <c r="M26" s="899" t="s">
        <v>21</v>
      </c>
      <c r="N26" s="899" t="s">
        <v>21</v>
      </c>
      <c r="O26" s="908"/>
    </row>
    <row r="27" spans="2:28" x14ac:dyDescent="0.3">
      <c r="B27" s="135">
        <v>1</v>
      </c>
      <c r="C27" s="9" t="s">
        <v>587</v>
      </c>
      <c r="D27" s="3">
        <v>0</v>
      </c>
      <c r="E27" s="493">
        <v>0</v>
      </c>
      <c r="F27" s="3">
        <v>0</v>
      </c>
      <c r="G27" s="493">
        <v>0</v>
      </c>
      <c r="H27" s="3">
        <v>0</v>
      </c>
      <c r="I27" s="493">
        <v>0</v>
      </c>
      <c r="J27" s="494">
        <v>0</v>
      </c>
      <c r="K27" s="494">
        <v>0</v>
      </c>
      <c r="L27" s="494">
        <v>0</v>
      </c>
      <c r="M27" s="494">
        <v>0</v>
      </c>
      <c r="N27" s="494">
        <v>0</v>
      </c>
      <c r="O27" s="3"/>
      <c r="P27" s="2"/>
      <c r="Q27" s="2"/>
      <c r="R27" s="2"/>
      <c r="S27" s="2"/>
      <c r="T27" s="2"/>
      <c r="U27" s="2"/>
      <c r="V27" s="2"/>
      <c r="W27" s="2"/>
      <c r="X27" s="2"/>
      <c r="Y27" s="2"/>
      <c r="Z27" s="2"/>
      <c r="AA27" s="2"/>
      <c r="AB27" s="2"/>
    </row>
    <row r="29" spans="2:28" x14ac:dyDescent="0.3">
      <c r="B29" s="1" t="s">
        <v>1638</v>
      </c>
    </row>
    <row r="31" spans="2:28" x14ac:dyDescent="0.3">
      <c r="B31" s="1582" t="s">
        <v>474</v>
      </c>
      <c r="C31" s="1582"/>
      <c r="D31" s="1582"/>
      <c r="E31" s="1582"/>
      <c r="F31" s="1582"/>
      <c r="G31" s="1582"/>
      <c r="H31" s="1582"/>
      <c r="I31" s="1582"/>
      <c r="J31" s="1582"/>
      <c r="K31" s="340"/>
      <c r="L31" s="568"/>
      <c r="M31" s="340"/>
      <c r="N31" s="340"/>
      <c r="O31" s="340"/>
      <c r="P31" s="568"/>
      <c r="Q31" s="133"/>
    </row>
    <row r="33" spans="2:21" ht="15" customHeight="1" x14ac:dyDescent="0.3">
      <c r="B33" s="1581" t="s">
        <v>343</v>
      </c>
      <c r="C33" s="1581" t="s">
        <v>37</v>
      </c>
      <c r="D33" s="1581" t="s">
        <v>179</v>
      </c>
      <c r="E33" s="1583" t="s">
        <v>519</v>
      </c>
      <c r="F33" s="1584"/>
      <c r="G33" s="1585"/>
      <c r="H33" s="1583" t="s">
        <v>520</v>
      </c>
      <c r="I33" s="1584"/>
      <c r="J33" s="1585"/>
      <c r="K33" s="1583" t="s">
        <v>521</v>
      </c>
      <c r="L33" s="1584"/>
      <c r="M33" s="1584"/>
      <c r="N33" s="1584"/>
      <c r="O33" s="1585"/>
      <c r="P33" s="588" t="s">
        <v>940</v>
      </c>
      <c r="Q33" s="588" t="s">
        <v>941</v>
      </c>
      <c r="R33" s="588" t="s">
        <v>945</v>
      </c>
      <c r="S33" s="588" t="s">
        <v>942</v>
      </c>
      <c r="T33" s="588" t="s">
        <v>944</v>
      </c>
      <c r="U33" s="1497" t="s">
        <v>27</v>
      </c>
    </row>
    <row r="34" spans="2:21" ht="28" x14ac:dyDescent="0.3">
      <c r="B34" s="1581"/>
      <c r="C34" s="1580"/>
      <c r="D34" s="1580"/>
      <c r="E34" s="345" t="s">
        <v>982</v>
      </c>
      <c r="F34" s="335" t="s">
        <v>79</v>
      </c>
      <c r="G34" s="335" t="s">
        <v>459</v>
      </c>
      <c r="H34" s="345" t="s">
        <v>982</v>
      </c>
      <c r="I34" s="335" t="s">
        <v>79</v>
      </c>
      <c r="J34" s="335" t="s">
        <v>459</v>
      </c>
      <c r="K34" s="335" t="s">
        <v>982</v>
      </c>
      <c r="L34" s="335" t="s">
        <v>449</v>
      </c>
      <c r="M34" s="335" t="s">
        <v>455</v>
      </c>
      <c r="N34" s="335" t="s">
        <v>80</v>
      </c>
      <c r="O34" s="335" t="s">
        <v>460</v>
      </c>
      <c r="P34" s="589" t="s">
        <v>943</v>
      </c>
      <c r="Q34" s="589" t="s">
        <v>943</v>
      </c>
      <c r="R34" s="589" t="s">
        <v>943</v>
      </c>
      <c r="S34" s="589" t="s">
        <v>943</v>
      </c>
      <c r="T34" s="589" t="s">
        <v>943</v>
      </c>
      <c r="U34" s="1497"/>
    </row>
    <row r="35" spans="2:21" x14ac:dyDescent="0.3">
      <c r="B35" s="1581"/>
      <c r="C35" s="1580"/>
      <c r="D35" s="1580"/>
      <c r="E35" s="591" t="s">
        <v>81</v>
      </c>
      <c r="F35" s="591" t="s">
        <v>82</v>
      </c>
      <c r="G35" s="591" t="s">
        <v>948</v>
      </c>
      <c r="H35" s="591" t="s">
        <v>397</v>
      </c>
      <c r="I35" s="591" t="s">
        <v>414</v>
      </c>
      <c r="J35" s="591" t="s">
        <v>465</v>
      </c>
      <c r="K35" s="591" t="s">
        <v>415</v>
      </c>
      <c r="L35" s="591" t="s">
        <v>416</v>
      </c>
      <c r="M35" s="591" t="s">
        <v>603</v>
      </c>
      <c r="N35" s="591" t="s">
        <v>693</v>
      </c>
      <c r="O35" s="591" t="s">
        <v>949</v>
      </c>
      <c r="P35" s="589" t="s">
        <v>605</v>
      </c>
      <c r="Q35" s="589" t="s">
        <v>606</v>
      </c>
      <c r="R35" s="589" t="s">
        <v>607</v>
      </c>
      <c r="S35" s="589" t="s">
        <v>672</v>
      </c>
      <c r="T35" s="589" t="s">
        <v>608</v>
      </c>
      <c r="U35" s="1498"/>
    </row>
    <row r="36" spans="2:21" x14ac:dyDescent="0.3">
      <c r="B36" s="134" t="s">
        <v>170</v>
      </c>
      <c r="C36" s="111" t="s">
        <v>180</v>
      </c>
      <c r="D36" s="9"/>
      <c r="E36" s="308"/>
      <c r="F36" s="308"/>
      <c r="G36" s="308"/>
      <c r="H36" s="308"/>
      <c r="I36" s="308"/>
      <c r="J36" s="308"/>
      <c r="K36" s="308"/>
      <c r="L36" s="308"/>
      <c r="M36" s="308"/>
      <c r="N36" s="308"/>
      <c r="O36" s="308"/>
      <c r="P36" s="308"/>
      <c r="Q36" s="308"/>
      <c r="R36" s="308"/>
      <c r="S36" s="308"/>
      <c r="T36" s="308"/>
      <c r="U36" s="308"/>
    </row>
    <row r="37" spans="2:21" x14ac:dyDescent="0.3">
      <c r="B37" s="135">
        <v>1</v>
      </c>
      <c r="C37" s="9" t="s">
        <v>181</v>
      </c>
      <c r="D37" s="9" t="s">
        <v>477</v>
      </c>
      <c r="E37" s="308"/>
      <c r="F37" s="308"/>
      <c r="G37" s="308">
        <f>F37-E37</f>
        <v>0</v>
      </c>
      <c r="H37" s="308"/>
      <c r="I37" s="308"/>
      <c r="J37" s="308">
        <f>I37-H37</f>
        <v>0</v>
      </c>
      <c r="K37" s="308"/>
      <c r="L37" s="308"/>
      <c r="M37" s="308"/>
      <c r="N37" s="308">
        <f>L37+M37</f>
        <v>0</v>
      </c>
      <c r="O37" s="308">
        <f>N37-K37</f>
        <v>0</v>
      </c>
      <c r="P37" s="308"/>
      <c r="Q37" s="308"/>
      <c r="R37" s="308"/>
      <c r="S37" s="308"/>
      <c r="T37" s="308"/>
      <c r="U37" s="308"/>
    </row>
    <row r="38" spans="2:21" x14ac:dyDescent="0.3">
      <c r="B38" s="135">
        <v>2</v>
      </c>
      <c r="C38" s="9" t="s">
        <v>327</v>
      </c>
      <c r="D38" s="9" t="s">
        <v>477</v>
      </c>
      <c r="E38" s="308"/>
      <c r="F38" s="308"/>
      <c r="G38" s="308">
        <f>F38-E38</f>
        <v>0</v>
      </c>
      <c r="H38" s="308"/>
      <c r="I38" s="308"/>
      <c r="J38" s="308">
        <f>I38-H38</f>
        <v>0</v>
      </c>
      <c r="K38" s="308"/>
      <c r="L38" s="308"/>
      <c r="M38" s="308"/>
      <c r="N38" s="308">
        <f t="shared" ref="N38:N41" si="2">L38+M38</f>
        <v>0</v>
      </c>
      <c r="O38" s="308">
        <f t="shared" ref="O38:O41" si="3">N38-K38</f>
        <v>0</v>
      </c>
      <c r="P38" s="308"/>
      <c r="Q38" s="308"/>
      <c r="R38" s="308"/>
      <c r="S38" s="308"/>
      <c r="T38" s="308"/>
      <c r="U38" s="308"/>
    </row>
    <row r="39" spans="2:21" x14ac:dyDescent="0.3">
      <c r="B39" s="135">
        <v>3</v>
      </c>
      <c r="C39" s="9" t="s">
        <v>182</v>
      </c>
      <c r="D39" s="9" t="s">
        <v>477</v>
      </c>
      <c r="E39" s="308"/>
      <c r="F39" s="308"/>
      <c r="G39" s="308">
        <f>F39-E39</f>
        <v>0</v>
      </c>
      <c r="H39" s="308"/>
      <c r="I39" s="308"/>
      <c r="J39" s="308">
        <f>I39-H39</f>
        <v>0</v>
      </c>
      <c r="K39" s="308"/>
      <c r="L39" s="308"/>
      <c r="M39" s="308"/>
      <c r="N39" s="308">
        <f t="shared" si="2"/>
        <v>0</v>
      </c>
      <c r="O39" s="308">
        <f t="shared" si="3"/>
        <v>0</v>
      </c>
      <c r="P39" s="308"/>
      <c r="Q39" s="308"/>
      <c r="R39" s="308"/>
      <c r="S39" s="308"/>
      <c r="T39" s="308"/>
      <c r="U39" s="308"/>
    </row>
    <row r="40" spans="2:21" x14ac:dyDescent="0.3">
      <c r="B40" s="135">
        <v>4</v>
      </c>
      <c r="C40" s="9" t="s">
        <v>594</v>
      </c>
      <c r="D40" s="9" t="s">
        <v>477</v>
      </c>
      <c r="E40" s="308"/>
      <c r="F40" s="308"/>
      <c r="G40" s="308">
        <f>F40-E40</f>
        <v>0</v>
      </c>
      <c r="H40" s="308"/>
      <c r="I40" s="308"/>
      <c r="J40" s="308">
        <f>I40-H40</f>
        <v>0</v>
      </c>
      <c r="K40" s="308"/>
      <c r="L40" s="308"/>
      <c r="M40" s="308"/>
      <c r="N40" s="308">
        <f t="shared" si="2"/>
        <v>0</v>
      </c>
      <c r="O40" s="308">
        <f t="shared" si="3"/>
        <v>0</v>
      </c>
      <c r="P40" s="308"/>
      <c r="Q40" s="308"/>
      <c r="R40" s="308"/>
      <c r="S40" s="308"/>
      <c r="T40" s="308"/>
      <c r="U40" s="308"/>
    </row>
    <row r="41" spans="2:21" x14ac:dyDescent="0.3">
      <c r="B41" s="135">
        <v>5</v>
      </c>
      <c r="C41" s="9" t="s">
        <v>595</v>
      </c>
      <c r="D41" s="9" t="s">
        <v>477</v>
      </c>
      <c r="E41" s="308"/>
      <c r="F41" s="308"/>
      <c r="G41" s="308">
        <f>F41-E41</f>
        <v>0</v>
      </c>
      <c r="H41" s="308"/>
      <c r="I41" s="308"/>
      <c r="J41" s="308">
        <f>I41-H41</f>
        <v>0</v>
      </c>
      <c r="K41" s="308"/>
      <c r="L41" s="308"/>
      <c r="M41" s="308"/>
      <c r="N41" s="308">
        <f t="shared" si="2"/>
        <v>0</v>
      </c>
      <c r="O41" s="308">
        <f t="shared" si="3"/>
        <v>0</v>
      </c>
      <c r="P41" s="308"/>
      <c r="Q41" s="308"/>
      <c r="R41" s="308"/>
      <c r="S41" s="308"/>
      <c r="T41" s="308"/>
      <c r="U41" s="308"/>
    </row>
    <row r="42" spans="2:21" x14ac:dyDescent="0.3">
      <c r="B42" s="135"/>
      <c r="C42" s="9"/>
      <c r="D42" s="9"/>
      <c r="E42" s="308"/>
      <c r="F42" s="308"/>
      <c r="G42" s="308"/>
      <c r="H42" s="308"/>
      <c r="I42" s="308"/>
      <c r="J42" s="308"/>
      <c r="K42" s="308"/>
      <c r="L42" s="308"/>
      <c r="M42" s="308"/>
      <c r="N42" s="308"/>
      <c r="O42" s="308"/>
      <c r="P42" s="308"/>
      <c r="Q42" s="308"/>
      <c r="R42" s="308"/>
      <c r="S42" s="308"/>
      <c r="T42" s="308"/>
      <c r="U42" s="308"/>
    </row>
    <row r="43" spans="2:21" x14ac:dyDescent="0.3">
      <c r="B43" s="134" t="s">
        <v>183</v>
      </c>
      <c r="C43" s="111" t="s">
        <v>475</v>
      </c>
      <c r="D43" s="9"/>
      <c r="E43" s="308"/>
      <c r="F43" s="308"/>
      <c r="G43" s="308"/>
      <c r="H43" s="308"/>
      <c r="I43" s="308"/>
      <c r="J43" s="308"/>
      <c r="K43" s="308"/>
      <c r="L43" s="308"/>
      <c r="M43" s="308"/>
      <c r="N43" s="308"/>
      <c r="O43" s="308"/>
      <c r="P43" s="308"/>
      <c r="Q43" s="308"/>
      <c r="R43" s="308"/>
      <c r="S43" s="308"/>
      <c r="T43" s="308"/>
      <c r="U43" s="308"/>
    </row>
    <row r="44" spans="2:21" x14ac:dyDescent="0.3">
      <c r="B44" s="135">
        <v>1</v>
      </c>
      <c r="C44" s="9" t="s">
        <v>181</v>
      </c>
      <c r="D44" s="9" t="s">
        <v>96</v>
      </c>
      <c r="E44" s="308"/>
      <c r="F44" s="308"/>
      <c r="G44" s="308">
        <f>F44-E44</f>
        <v>0</v>
      </c>
      <c r="H44" s="308"/>
      <c r="I44" s="308"/>
      <c r="J44" s="308">
        <f>I44-H44</f>
        <v>0</v>
      </c>
      <c r="K44" s="308"/>
      <c r="L44" s="308"/>
      <c r="M44" s="308"/>
      <c r="N44" s="308">
        <f t="shared" ref="N44:N48" si="4">L44+M44</f>
        <v>0</v>
      </c>
      <c r="O44" s="308">
        <f t="shared" ref="O44:O48" si="5">N44-K44</f>
        <v>0</v>
      </c>
      <c r="P44" s="308"/>
      <c r="Q44" s="308"/>
      <c r="R44" s="308"/>
      <c r="S44" s="308"/>
      <c r="T44" s="308"/>
      <c r="U44" s="308"/>
    </row>
    <row r="45" spans="2:21" x14ac:dyDescent="0.3">
      <c r="B45" s="135">
        <v>2</v>
      </c>
      <c r="C45" s="9" t="s">
        <v>327</v>
      </c>
      <c r="D45" s="9" t="s">
        <v>96</v>
      </c>
      <c r="E45" s="308"/>
      <c r="F45" s="308"/>
      <c r="G45" s="308">
        <f>F45-E45</f>
        <v>0</v>
      </c>
      <c r="H45" s="308"/>
      <c r="I45" s="308"/>
      <c r="J45" s="308">
        <f>I45-H45</f>
        <v>0</v>
      </c>
      <c r="K45" s="308"/>
      <c r="L45" s="308"/>
      <c r="M45" s="308"/>
      <c r="N45" s="308">
        <f t="shared" si="4"/>
        <v>0</v>
      </c>
      <c r="O45" s="308">
        <f t="shared" si="5"/>
        <v>0</v>
      </c>
      <c r="P45" s="308"/>
      <c r="Q45" s="308"/>
      <c r="R45" s="308"/>
      <c r="S45" s="308"/>
      <c r="T45" s="308"/>
      <c r="U45" s="308"/>
    </row>
    <row r="46" spans="2:21" x14ac:dyDescent="0.3">
      <c r="B46" s="135">
        <v>3</v>
      </c>
      <c r="C46" s="9" t="s">
        <v>182</v>
      </c>
      <c r="D46" s="9" t="s">
        <v>96</v>
      </c>
      <c r="E46" s="308"/>
      <c r="F46" s="308"/>
      <c r="G46" s="308">
        <f>F46-E46</f>
        <v>0</v>
      </c>
      <c r="H46" s="308"/>
      <c r="I46" s="308"/>
      <c r="J46" s="308">
        <f>I46-H46</f>
        <v>0</v>
      </c>
      <c r="K46" s="308"/>
      <c r="L46" s="308"/>
      <c r="M46" s="308"/>
      <c r="N46" s="308">
        <f t="shared" si="4"/>
        <v>0</v>
      </c>
      <c r="O46" s="308">
        <f t="shared" si="5"/>
        <v>0</v>
      </c>
      <c r="P46" s="308"/>
      <c r="Q46" s="308"/>
      <c r="R46" s="308"/>
      <c r="S46" s="308"/>
      <c r="T46" s="308"/>
      <c r="U46" s="308"/>
    </row>
    <row r="47" spans="2:21" x14ac:dyDescent="0.3">
      <c r="B47" s="135">
        <v>4</v>
      </c>
      <c r="C47" s="9" t="s">
        <v>596</v>
      </c>
      <c r="D47" s="9" t="s">
        <v>96</v>
      </c>
      <c r="E47" s="308"/>
      <c r="F47" s="308"/>
      <c r="G47" s="308">
        <f>F47-E47</f>
        <v>0</v>
      </c>
      <c r="H47" s="308"/>
      <c r="I47" s="308"/>
      <c r="J47" s="308">
        <f>I47-H47</f>
        <v>0</v>
      </c>
      <c r="K47" s="308"/>
      <c r="L47" s="308"/>
      <c r="M47" s="308"/>
      <c r="N47" s="308">
        <f t="shared" si="4"/>
        <v>0</v>
      </c>
      <c r="O47" s="308">
        <f t="shared" si="5"/>
        <v>0</v>
      </c>
      <c r="P47" s="308"/>
      <c r="Q47" s="308"/>
      <c r="R47" s="308"/>
      <c r="S47" s="308"/>
      <c r="T47" s="308"/>
      <c r="U47" s="308"/>
    </row>
    <row r="48" spans="2:21" x14ac:dyDescent="0.3">
      <c r="B48" s="135">
        <v>5</v>
      </c>
      <c r="C48" s="9" t="s">
        <v>595</v>
      </c>
      <c r="D48" s="9" t="s">
        <v>96</v>
      </c>
      <c r="E48" s="308"/>
      <c r="F48" s="308"/>
      <c r="G48" s="308">
        <f>F48-E48</f>
        <v>0</v>
      </c>
      <c r="H48" s="308"/>
      <c r="I48" s="308"/>
      <c r="J48" s="308">
        <f>I48-H48</f>
        <v>0</v>
      </c>
      <c r="K48" s="308"/>
      <c r="L48" s="308"/>
      <c r="M48" s="308"/>
      <c r="N48" s="308">
        <f t="shared" si="4"/>
        <v>0</v>
      </c>
      <c r="O48" s="308">
        <f t="shared" si="5"/>
        <v>0</v>
      </c>
      <c r="P48" s="308"/>
      <c r="Q48" s="308"/>
      <c r="R48" s="308"/>
      <c r="S48" s="308"/>
      <c r="T48" s="308"/>
      <c r="U48" s="308"/>
    </row>
    <row r="49" spans="2:21" x14ac:dyDescent="0.3">
      <c r="B49" s="135"/>
      <c r="C49" s="9"/>
      <c r="D49" s="9"/>
      <c r="E49" s="308"/>
      <c r="F49" s="308"/>
      <c r="G49" s="308"/>
      <c r="H49" s="308"/>
      <c r="I49" s="308"/>
      <c r="J49" s="308"/>
      <c r="K49" s="308"/>
      <c r="L49" s="308"/>
      <c r="M49" s="308"/>
      <c r="N49" s="308"/>
      <c r="O49" s="308"/>
      <c r="P49" s="308"/>
      <c r="Q49" s="308"/>
      <c r="R49" s="308"/>
      <c r="S49" s="308"/>
      <c r="T49" s="308"/>
      <c r="U49" s="308"/>
    </row>
    <row r="50" spans="2:21" x14ac:dyDescent="0.3">
      <c r="B50" s="134" t="s">
        <v>184</v>
      </c>
      <c r="C50" s="111" t="s">
        <v>476</v>
      </c>
      <c r="D50" s="9"/>
      <c r="E50" s="308"/>
      <c r="F50" s="308"/>
      <c r="G50" s="308"/>
      <c r="H50" s="308"/>
      <c r="I50" s="308"/>
      <c r="J50" s="308"/>
      <c r="K50" s="308"/>
      <c r="L50" s="308"/>
      <c r="M50" s="308"/>
      <c r="N50" s="308"/>
      <c r="O50" s="308"/>
      <c r="P50" s="308"/>
      <c r="Q50" s="308"/>
      <c r="R50" s="308"/>
      <c r="S50" s="308"/>
      <c r="T50" s="308"/>
      <c r="U50" s="308"/>
    </row>
    <row r="51" spans="2:21" x14ac:dyDescent="0.3">
      <c r="B51" s="135">
        <v>1</v>
      </c>
      <c r="C51" s="9" t="s">
        <v>181</v>
      </c>
      <c r="D51" s="9" t="s">
        <v>447</v>
      </c>
      <c r="E51" s="308"/>
      <c r="F51" s="308"/>
      <c r="G51" s="308">
        <f>F51-E51</f>
        <v>0</v>
      </c>
      <c r="H51" s="308"/>
      <c r="I51" s="308"/>
      <c r="J51" s="308">
        <f>I51-H51</f>
        <v>0</v>
      </c>
      <c r="K51" s="308"/>
      <c r="L51" s="308"/>
      <c r="M51" s="308"/>
      <c r="N51" s="308">
        <f t="shared" ref="N51:N55" si="6">L51+M51</f>
        <v>0</v>
      </c>
      <c r="O51" s="308">
        <f t="shared" ref="O51:O55" si="7">N51-K51</f>
        <v>0</v>
      </c>
      <c r="P51" s="308"/>
      <c r="Q51" s="308"/>
      <c r="R51" s="308"/>
      <c r="S51" s="308"/>
      <c r="T51" s="308"/>
      <c r="U51" s="308"/>
    </row>
    <row r="52" spans="2:21" x14ac:dyDescent="0.3">
      <c r="B52" s="135">
        <v>2</v>
      </c>
      <c r="C52" s="9" t="s">
        <v>327</v>
      </c>
      <c r="D52" s="9" t="s">
        <v>447</v>
      </c>
      <c r="E52" s="308"/>
      <c r="F52" s="308"/>
      <c r="G52" s="308">
        <f>F52-E52</f>
        <v>0</v>
      </c>
      <c r="H52" s="308"/>
      <c r="I52" s="308"/>
      <c r="J52" s="308">
        <f>I52-H52</f>
        <v>0</v>
      </c>
      <c r="K52" s="308"/>
      <c r="L52" s="308"/>
      <c r="M52" s="308"/>
      <c r="N52" s="308">
        <f t="shared" si="6"/>
        <v>0</v>
      </c>
      <c r="O52" s="308">
        <f t="shared" si="7"/>
        <v>0</v>
      </c>
      <c r="P52" s="308"/>
      <c r="Q52" s="308"/>
      <c r="R52" s="308"/>
      <c r="S52" s="308"/>
      <c r="T52" s="308"/>
      <c r="U52" s="308"/>
    </row>
    <row r="53" spans="2:21" x14ac:dyDescent="0.3">
      <c r="B53" s="135">
        <v>3</v>
      </c>
      <c r="C53" s="9" t="s">
        <v>182</v>
      </c>
      <c r="D53" s="9" t="s">
        <v>447</v>
      </c>
      <c r="E53" s="308"/>
      <c r="F53" s="308"/>
      <c r="G53" s="308">
        <f>F53-E53</f>
        <v>0</v>
      </c>
      <c r="H53" s="308"/>
      <c r="I53" s="308"/>
      <c r="J53" s="308">
        <f>I53-H53</f>
        <v>0</v>
      </c>
      <c r="K53" s="308"/>
      <c r="L53" s="308"/>
      <c r="M53" s="308"/>
      <c r="N53" s="308">
        <f t="shared" si="6"/>
        <v>0</v>
      </c>
      <c r="O53" s="308">
        <f t="shared" si="7"/>
        <v>0</v>
      </c>
      <c r="P53" s="308"/>
      <c r="Q53" s="308"/>
      <c r="R53" s="308"/>
      <c r="S53" s="308"/>
      <c r="T53" s="308"/>
      <c r="U53" s="308"/>
    </row>
    <row r="54" spans="2:21" x14ac:dyDescent="0.3">
      <c r="B54" s="135">
        <v>4</v>
      </c>
      <c r="C54" s="9" t="s">
        <v>596</v>
      </c>
      <c r="D54" s="9" t="s">
        <v>447</v>
      </c>
      <c r="E54" s="308"/>
      <c r="F54" s="308"/>
      <c r="G54" s="308">
        <f>F54-E54</f>
        <v>0</v>
      </c>
      <c r="H54" s="308"/>
      <c r="I54" s="308"/>
      <c r="J54" s="308">
        <f>I54-H54</f>
        <v>0</v>
      </c>
      <c r="K54" s="308"/>
      <c r="L54" s="308"/>
      <c r="M54" s="308"/>
      <c r="N54" s="308">
        <f t="shared" si="6"/>
        <v>0</v>
      </c>
      <c r="O54" s="308">
        <f t="shared" si="7"/>
        <v>0</v>
      </c>
      <c r="P54" s="308"/>
      <c r="Q54" s="308"/>
      <c r="R54" s="308"/>
      <c r="S54" s="308"/>
      <c r="T54" s="308"/>
      <c r="U54" s="308"/>
    </row>
    <row r="55" spans="2:21" x14ac:dyDescent="0.3">
      <c r="B55" s="135">
        <v>5</v>
      </c>
      <c r="C55" s="9" t="s">
        <v>595</v>
      </c>
      <c r="D55" s="9" t="s">
        <v>447</v>
      </c>
      <c r="E55" s="308"/>
      <c r="F55" s="308"/>
      <c r="G55" s="308">
        <f>F55-E55</f>
        <v>0</v>
      </c>
      <c r="H55" s="308"/>
      <c r="I55" s="308"/>
      <c r="J55" s="308">
        <f>I55-H55</f>
        <v>0</v>
      </c>
      <c r="K55" s="308"/>
      <c r="L55" s="308"/>
      <c r="M55" s="308"/>
      <c r="N55" s="308">
        <f t="shared" si="6"/>
        <v>0</v>
      </c>
      <c r="O55" s="308">
        <f t="shared" si="7"/>
        <v>0</v>
      </c>
      <c r="P55" s="308"/>
      <c r="Q55" s="308"/>
      <c r="R55" s="308"/>
      <c r="S55" s="308"/>
      <c r="T55" s="308"/>
      <c r="U55" s="308"/>
    </row>
    <row r="56" spans="2:21" x14ac:dyDescent="0.3">
      <c r="B56" s="49"/>
      <c r="C56" s="5"/>
      <c r="D56" s="5"/>
      <c r="E56" s="5"/>
      <c r="F56" s="5"/>
      <c r="G56" s="5"/>
      <c r="H56" s="5"/>
      <c r="I56" s="5"/>
      <c r="J56" s="5"/>
      <c r="K56" s="5"/>
      <c r="L56" s="5"/>
      <c r="M56" s="5"/>
      <c r="N56" s="5"/>
      <c r="O56" s="5"/>
      <c r="P56" s="5"/>
      <c r="Q56" s="5"/>
    </row>
    <row r="57" spans="2:21" x14ac:dyDescent="0.3">
      <c r="B57" s="2"/>
      <c r="C57" s="2"/>
    </row>
    <row r="59" spans="2:21" x14ac:dyDescent="0.3">
      <c r="B59" s="1582" t="s">
        <v>588</v>
      </c>
      <c r="C59" s="1582"/>
      <c r="D59" s="1582"/>
      <c r="E59" s="1582"/>
      <c r="F59" s="1582"/>
      <c r="G59" s="1582"/>
      <c r="H59" s="1582"/>
      <c r="I59" s="1582"/>
      <c r="J59" s="1582"/>
      <c r="K59" s="340"/>
      <c r="L59" s="568"/>
      <c r="M59" s="340"/>
      <c r="N59" s="340"/>
      <c r="O59" s="340"/>
      <c r="P59" s="568"/>
    </row>
    <row r="60" spans="2:21" x14ac:dyDescent="0.3">
      <c r="K60" s="21"/>
      <c r="L60" s="21"/>
      <c r="M60" s="21"/>
      <c r="N60" s="21"/>
      <c r="O60" s="21"/>
      <c r="P60" s="21"/>
      <c r="R60" s="21" t="s">
        <v>10</v>
      </c>
    </row>
    <row r="61" spans="2:21" x14ac:dyDescent="0.3">
      <c r="B61" s="1581" t="s">
        <v>343</v>
      </c>
      <c r="C61" s="1581" t="s">
        <v>37</v>
      </c>
      <c r="D61" s="1583" t="s">
        <v>519</v>
      </c>
      <c r="E61" s="1584"/>
      <c r="F61" s="1585"/>
      <c r="G61" s="1583" t="s">
        <v>520</v>
      </c>
      <c r="H61" s="1584"/>
      <c r="I61" s="1585"/>
      <c r="J61" s="1583" t="s">
        <v>521</v>
      </c>
      <c r="K61" s="1584"/>
      <c r="L61" s="1584"/>
      <c r="M61" s="1584"/>
      <c r="N61" s="1585"/>
      <c r="O61" s="588" t="s">
        <v>940</v>
      </c>
      <c r="P61" s="588" t="s">
        <v>941</v>
      </c>
      <c r="Q61" s="588" t="s">
        <v>945</v>
      </c>
      <c r="R61" s="588" t="s">
        <v>942</v>
      </c>
      <c r="S61" s="588" t="s">
        <v>944</v>
      </c>
      <c r="T61" s="1497" t="s">
        <v>27</v>
      </c>
    </row>
    <row r="62" spans="2:21" ht="28" x14ac:dyDescent="0.3">
      <c r="B62" s="1581"/>
      <c r="C62" s="1580"/>
      <c r="D62" s="345" t="s">
        <v>458</v>
      </c>
      <c r="E62" s="335" t="s">
        <v>79</v>
      </c>
      <c r="F62" s="335" t="s">
        <v>459</v>
      </c>
      <c r="G62" s="345" t="s">
        <v>458</v>
      </c>
      <c r="H62" s="335" t="s">
        <v>79</v>
      </c>
      <c r="I62" s="335" t="s">
        <v>459</v>
      </c>
      <c r="J62" s="335" t="s">
        <v>458</v>
      </c>
      <c r="K62" s="335" t="s">
        <v>449</v>
      </c>
      <c r="L62" s="335" t="s">
        <v>455</v>
      </c>
      <c r="M62" s="335" t="s">
        <v>80</v>
      </c>
      <c r="N62" s="335" t="s">
        <v>460</v>
      </c>
      <c r="O62" s="589" t="s">
        <v>943</v>
      </c>
      <c r="P62" s="589" t="s">
        <v>943</v>
      </c>
      <c r="Q62" s="589" t="s">
        <v>943</v>
      </c>
      <c r="R62" s="589" t="s">
        <v>943</v>
      </c>
      <c r="S62" s="589" t="s">
        <v>943</v>
      </c>
      <c r="T62" s="1497"/>
    </row>
    <row r="63" spans="2:21" x14ac:dyDescent="0.3">
      <c r="B63" s="1581"/>
      <c r="C63" s="1580"/>
      <c r="D63" s="335" t="s">
        <v>81</v>
      </c>
      <c r="E63" s="335" t="s">
        <v>82</v>
      </c>
      <c r="F63" s="335" t="s">
        <v>692</v>
      </c>
      <c r="G63" s="335" t="s">
        <v>397</v>
      </c>
      <c r="H63" s="335" t="s">
        <v>414</v>
      </c>
      <c r="I63" s="335" t="s">
        <v>465</v>
      </c>
      <c r="J63" s="335" t="s">
        <v>415</v>
      </c>
      <c r="K63" s="335" t="s">
        <v>416</v>
      </c>
      <c r="L63" s="335" t="s">
        <v>603</v>
      </c>
      <c r="M63" s="335" t="s">
        <v>693</v>
      </c>
      <c r="N63" s="335" t="s">
        <v>516</v>
      </c>
      <c r="O63" s="589" t="s">
        <v>605</v>
      </c>
      <c r="P63" s="589" t="s">
        <v>606</v>
      </c>
      <c r="Q63" s="589" t="s">
        <v>607</v>
      </c>
      <c r="R63" s="589" t="s">
        <v>672</v>
      </c>
      <c r="S63" s="589" t="s">
        <v>608</v>
      </c>
      <c r="T63" s="1498"/>
    </row>
    <row r="64" spans="2:21" x14ac:dyDescent="0.3">
      <c r="B64" s="175">
        <v>1</v>
      </c>
      <c r="C64" s="37" t="s">
        <v>589</v>
      </c>
      <c r="D64" s="9"/>
      <c r="E64" s="3"/>
      <c r="F64" s="9">
        <f>E64-D64</f>
        <v>0</v>
      </c>
      <c r="G64" s="9"/>
      <c r="H64" s="9"/>
      <c r="I64" s="9">
        <f>H64-G64</f>
        <v>0</v>
      </c>
      <c r="J64" s="9"/>
      <c r="K64" s="9"/>
      <c r="L64" s="9"/>
      <c r="M64" s="9">
        <f>K64+L64</f>
        <v>0</v>
      </c>
      <c r="N64" s="9">
        <f>M64-J64</f>
        <v>0</v>
      </c>
      <c r="O64" s="9"/>
      <c r="P64" s="9"/>
      <c r="Q64" s="9"/>
      <c r="R64" s="9"/>
      <c r="S64" s="9"/>
      <c r="T64" s="9"/>
    </row>
    <row r="65" spans="2:20" x14ac:dyDescent="0.3">
      <c r="B65" s="135">
        <v>2</v>
      </c>
      <c r="C65" s="9" t="s">
        <v>590</v>
      </c>
      <c r="D65" s="9"/>
      <c r="E65" s="3"/>
      <c r="F65" s="9">
        <f>E65-D65</f>
        <v>0</v>
      </c>
      <c r="G65" s="9"/>
      <c r="H65" s="9"/>
      <c r="I65" s="9">
        <f t="shared" ref="I65:I67" si="8">H65-G65</f>
        <v>0</v>
      </c>
      <c r="J65" s="9"/>
      <c r="K65" s="9"/>
      <c r="L65" s="9"/>
      <c r="M65" s="9">
        <f>K65+L65</f>
        <v>0</v>
      </c>
      <c r="N65" s="9">
        <f>M65-J65</f>
        <v>0</v>
      </c>
      <c r="O65" s="9"/>
      <c r="P65" s="9"/>
      <c r="Q65" s="9"/>
      <c r="R65" s="9"/>
      <c r="S65" s="9"/>
      <c r="T65" s="9"/>
    </row>
    <row r="66" spans="2:20" x14ac:dyDescent="0.3">
      <c r="B66" s="135">
        <v>3</v>
      </c>
      <c r="C66" s="9" t="s">
        <v>591</v>
      </c>
      <c r="D66" s="9"/>
      <c r="E66" s="3"/>
      <c r="F66" s="9">
        <f>E66-D66</f>
        <v>0</v>
      </c>
      <c r="G66" s="9"/>
      <c r="H66" s="9"/>
      <c r="I66" s="9">
        <f t="shared" si="8"/>
        <v>0</v>
      </c>
      <c r="J66" s="9"/>
      <c r="K66" s="9"/>
      <c r="L66" s="9"/>
      <c r="M66" s="9">
        <f>K66+L66</f>
        <v>0</v>
      </c>
      <c r="N66" s="9">
        <f>M66-J66</f>
        <v>0</v>
      </c>
      <c r="O66" s="9"/>
      <c r="P66" s="9"/>
      <c r="Q66" s="9"/>
      <c r="R66" s="9"/>
      <c r="S66" s="9"/>
      <c r="T66" s="9"/>
    </row>
    <row r="67" spans="2:20" x14ac:dyDescent="0.3">
      <c r="B67" s="135" t="s">
        <v>489</v>
      </c>
      <c r="C67" s="9"/>
      <c r="D67" s="9"/>
      <c r="E67" s="3"/>
      <c r="F67" s="9">
        <f>E67-D67</f>
        <v>0</v>
      </c>
      <c r="G67" s="9"/>
      <c r="H67" s="9"/>
      <c r="I67" s="9">
        <f t="shared" si="8"/>
        <v>0</v>
      </c>
      <c r="J67" s="9"/>
      <c r="K67" s="9"/>
      <c r="L67" s="9"/>
      <c r="M67" s="9">
        <f>K67+L67</f>
        <v>0</v>
      </c>
      <c r="N67" s="9">
        <f>M67-J67</f>
        <v>0</v>
      </c>
      <c r="O67" s="9"/>
      <c r="P67" s="9"/>
      <c r="Q67" s="9"/>
      <c r="R67" s="9"/>
      <c r="S67" s="9"/>
      <c r="T67" s="9"/>
    </row>
  </sheetData>
  <mergeCells count="53">
    <mergeCell ref="S10:S12"/>
    <mergeCell ref="T10:T12"/>
    <mergeCell ref="L10:L12"/>
    <mergeCell ref="M10:M12"/>
    <mergeCell ref="J24:N24"/>
    <mergeCell ref="J10:J12"/>
    <mergeCell ref="P10:P12"/>
    <mergeCell ref="Q10:Q12"/>
    <mergeCell ref="R10:R12"/>
    <mergeCell ref="O10:O12"/>
    <mergeCell ref="K10:K12"/>
    <mergeCell ref="N10:N12"/>
    <mergeCell ref="U33:U35"/>
    <mergeCell ref="G61:I61"/>
    <mergeCell ref="T61:T63"/>
    <mergeCell ref="K33:O33"/>
    <mergeCell ref="H33:J33"/>
    <mergeCell ref="J61:N61"/>
    <mergeCell ref="B1:R1"/>
    <mergeCell ref="B2:R2"/>
    <mergeCell ref="B3:R3"/>
    <mergeCell ref="B5:U5"/>
    <mergeCell ref="B7:B9"/>
    <mergeCell ref="C7:C9"/>
    <mergeCell ref="D7:H7"/>
    <mergeCell ref="I7:I8"/>
    <mergeCell ref="K7:T7"/>
    <mergeCell ref="U7:U9"/>
    <mergeCell ref="K8:L8"/>
    <mergeCell ref="M8:N8"/>
    <mergeCell ref="O8:P8"/>
    <mergeCell ref="Q8:R8"/>
    <mergeCell ref="S8:T8"/>
    <mergeCell ref="B61:B63"/>
    <mergeCell ref="C61:C63"/>
    <mergeCell ref="B59:J59"/>
    <mergeCell ref="B31:J31"/>
    <mergeCell ref="B33:B35"/>
    <mergeCell ref="C33:C35"/>
    <mergeCell ref="D33:D35"/>
    <mergeCell ref="E33:G33"/>
    <mergeCell ref="D61:F61"/>
    <mergeCell ref="D25:E25"/>
    <mergeCell ref="F25:G25"/>
    <mergeCell ref="H25:I25"/>
    <mergeCell ref="B24:B26"/>
    <mergeCell ref="C24:C26"/>
    <mergeCell ref="I10:I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3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79"/>
  <sheetViews>
    <sheetView showGridLines="0" view="pageBreakPreview" zoomScale="70" zoomScaleNormal="75" zoomScaleSheetLayoutView="70" workbookViewId="0">
      <pane xSplit="3" ySplit="10" topLeftCell="D50" activePane="bottomRight" state="frozen"/>
      <selection pane="topRight" activeCell="D1" sqref="D1"/>
      <selection pane="bottomLeft" activeCell="A11" sqref="A11"/>
      <selection pane="bottomRight" activeCell="I70" sqref="I70"/>
    </sheetView>
  </sheetViews>
  <sheetFormatPr defaultColWidth="9.36328125" defaultRowHeight="14" x14ac:dyDescent="0.25"/>
  <cols>
    <col min="1" max="1" width="6.6328125" style="13" customWidth="1"/>
    <col min="2" max="2" width="7" style="13" customWidth="1"/>
    <col min="3" max="3" width="42.54296875" style="13" customWidth="1"/>
    <col min="4" max="5" width="16.6328125" style="13" customWidth="1"/>
    <col min="6" max="6" width="16" style="13" customWidth="1"/>
    <col min="7" max="8" width="14.453125" style="13" customWidth="1"/>
    <col min="9" max="9" width="18" style="13" customWidth="1"/>
    <col min="10" max="10" width="12.54296875" style="13" customWidth="1"/>
    <col min="11" max="11" width="12.453125" style="13" customWidth="1"/>
    <col min="12" max="12" width="13.6328125" style="13" customWidth="1"/>
    <col min="13" max="13" width="13.54296875" style="13" customWidth="1"/>
    <col min="14" max="16384" width="9.36328125" style="13"/>
  </cols>
  <sheetData>
    <row r="2" spans="2:9" x14ac:dyDescent="0.25">
      <c r="B2" s="1468" t="str">
        <f>Index!B2</f>
        <v xml:space="preserve">      Maharashtra State Power Generation Company Ltd.</v>
      </c>
      <c r="C2" s="1469"/>
      <c r="D2" s="1469"/>
      <c r="E2" s="1469"/>
      <c r="F2" s="1469"/>
      <c r="G2" s="1469"/>
      <c r="H2" s="1469"/>
      <c r="I2" s="1469"/>
    </row>
    <row r="3" spans="2:9" s="5" customFormat="1" x14ac:dyDescent="0.3">
      <c r="B3" s="1468" t="str">
        <f>Index!B3</f>
        <v>MYT Petition Formats for SHP Hydro</v>
      </c>
      <c r="C3" s="1469"/>
      <c r="D3" s="1469"/>
      <c r="E3" s="1469"/>
      <c r="F3" s="1469"/>
      <c r="G3" s="1469"/>
      <c r="H3" s="1469"/>
      <c r="I3" s="1469"/>
    </row>
    <row r="4" spans="2:9" s="5" customFormat="1" x14ac:dyDescent="0.3">
      <c r="B4" s="1470" t="s">
        <v>185</v>
      </c>
      <c r="C4" s="1469"/>
      <c r="D4" s="1469"/>
      <c r="E4" s="1469"/>
      <c r="F4" s="1469"/>
      <c r="G4" s="1469"/>
      <c r="H4" s="1469"/>
      <c r="I4" s="1469"/>
    </row>
    <row r="5" spans="2:9" s="5" customFormat="1" x14ac:dyDescent="0.3">
      <c r="C5" s="18"/>
      <c r="D5" s="18"/>
      <c r="E5" s="18"/>
      <c r="F5" s="17"/>
      <c r="G5" s="17"/>
      <c r="H5" s="17"/>
      <c r="I5" s="17"/>
    </row>
    <row r="6" spans="2:9" x14ac:dyDescent="0.25">
      <c r="B6" s="22" t="s">
        <v>186</v>
      </c>
    </row>
    <row r="7" spans="2:9" x14ac:dyDescent="0.25">
      <c r="H7" s="21" t="s">
        <v>10</v>
      </c>
      <c r="I7" s="21"/>
    </row>
    <row r="8" spans="2:9" ht="12.75" customHeight="1" x14ac:dyDescent="0.25">
      <c r="B8" s="1474" t="s">
        <v>6</v>
      </c>
      <c r="C8" s="1474" t="s">
        <v>37</v>
      </c>
      <c r="D8" s="331" t="s">
        <v>519</v>
      </c>
      <c r="E8" s="139" t="s">
        <v>520</v>
      </c>
      <c r="F8" s="1476" t="s">
        <v>521</v>
      </c>
      <c r="G8" s="1476"/>
      <c r="H8" s="1476"/>
    </row>
    <row r="9" spans="2:9" ht="28" x14ac:dyDescent="0.25">
      <c r="B9" s="1474"/>
      <c r="C9" s="1474"/>
      <c r="D9" s="331" t="s">
        <v>79</v>
      </c>
      <c r="E9" s="139" t="s">
        <v>79</v>
      </c>
      <c r="F9" s="220" t="s">
        <v>450</v>
      </c>
      <c r="G9" s="241" t="s">
        <v>455</v>
      </c>
      <c r="H9" s="139" t="s">
        <v>80</v>
      </c>
    </row>
    <row r="10" spans="2:9" x14ac:dyDescent="0.25">
      <c r="B10" s="1597"/>
      <c r="C10" s="1474"/>
      <c r="D10" s="331" t="s">
        <v>81</v>
      </c>
      <c r="E10" s="139" t="s">
        <v>950</v>
      </c>
      <c r="F10" s="139" t="s">
        <v>472</v>
      </c>
      <c r="G10" s="139" t="s">
        <v>397</v>
      </c>
      <c r="H10" s="139" t="s">
        <v>951</v>
      </c>
    </row>
    <row r="11" spans="2:9" x14ac:dyDescent="0.3">
      <c r="B11" s="101">
        <v>1</v>
      </c>
      <c r="C11" s="9" t="s">
        <v>187</v>
      </c>
      <c r="D11" s="395">
        <v>40.638709967000004</v>
      </c>
      <c r="E11" s="395">
        <v>41.900413927000002</v>
      </c>
      <c r="F11" s="395">
        <v>22.6028415259924</v>
      </c>
      <c r="G11" s="395">
        <v>22.602841525992392</v>
      </c>
      <c r="H11" s="352">
        <f>F11+G11</f>
        <v>45.205683051984792</v>
      </c>
    </row>
    <row r="12" spans="2:9" x14ac:dyDescent="0.3">
      <c r="B12" s="101">
        <v>2</v>
      </c>
      <c r="C12" s="9" t="s">
        <v>188</v>
      </c>
      <c r="D12" s="395">
        <v>15.095081625000002</v>
      </c>
      <c r="E12" s="395">
        <v>16.291332291000003</v>
      </c>
      <c r="F12" s="395">
        <v>10.129433210505464</v>
      </c>
      <c r="G12" s="395">
        <v>10.129433210505464</v>
      </c>
      <c r="H12" s="352">
        <f t="shared" ref="H12:H35" si="0">F12+G12</f>
        <v>20.258866421010929</v>
      </c>
    </row>
    <row r="13" spans="2:9" x14ac:dyDescent="0.25">
      <c r="B13" s="101">
        <v>3</v>
      </c>
      <c r="C13" s="23" t="s">
        <v>851</v>
      </c>
      <c r="D13" s="352">
        <v>5.0245972230000007</v>
      </c>
      <c r="E13" s="352">
        <v>5.2810724520000001</v>
      </c>
      <c r="F13" s="352">
        <v>2.5880753431447574</v>
      </c>
      <c r="G13" s="352">
        <v>2.7153171288590432</v>
      </c>
      <c r="H13" s="352">
        <f t="shared" si="0"/>
        <v>5.3033924720038002</v>
      </c>
    </row>
    <row r="14" spans="2:9" x14ac:dyDescent="0.3">
      <c r="B14" s="101">
        <v>4</v>
      </c>
      <c r="C14" s="9" t="s">
        <v>189</v>
      </c>
      <c r="D14" s="395"/>
      <c r="E14" s="395"/>
      <c r="F14" s="395"/>
      <c r="G14" s="395"/>
      <c r="H14" s="352">
        <f t="shared" si="0"/>
        <v>0</v>
      </c>
    </row>
    <row r="15" spans="2:9" x14ac:dyDescent="0.3">
      <c r="B15" s="101">
        <v>5</v>
      </c>
      <c r="C15" s="9" t="s">
        <v>190</v>
      </c>
      <c r="D15" s="395"/>
      <c r="E15" s="395"/>
      <c r="F15" s="395"/>
      <c r="G15" s="395"/>
      <c r="H15" s="352">
        <f t="shared" si="0"/>
        <v>0</v>
      </c>
    </row>
    <row r="16" spans="2:9" x14ac:dyDescent="0.25">
      <c r="B16" s="101">
        <v>6</v>
      </c>
      <c r="C16" s="23" t="s">
        <v>191</v>
      </c>
      <c r="D16" s="352">
        <v>7.2142483436634688</v>
      </c>
      <c r="E16" s="352">
        <v>16.698978943036799</v>
      </c>
      <c r="F16" s="352">
        <v>5.1617617155819477</v>
      </c>
      <c r="G16" s="352">
        <v>4.1893954155819468</v>
      </c>
      <c r="H16" s="352">
        <f t="shared" si="0"/>
        <v>9.3511571311638946</v>
      </c>
    </row>
    <row r="17" spans="2:8" x14ac:dyDescent="0.3">
      <c r="B17" s="101">
        <v>7</v>
      </c>
      <c r="C17" s="9" t="s">
        <v>192</v>
      </c>
      <c r="D17" s="395"/>
      <c r="E17" s="395"/>
      <c r="F17" s="395"/>
      <c r="G17" s="395"/>
      <c r="H17" s="352">
        <f t="shared" si="0"/>
        <v>0</v>
      </c>
    </row>
    <row r="18" spans="2:8" x14ac:dyDescent="0.3">
      <c r="B18" s="101">
        <v>8</v>
      </c>
      <c r="C18" s="9" t="s">
        <v>193</v>
      </c>
      <c r="D18" s="395"/>
      <c r="E18" s="395"/>
      <c r="F18" s="395"/>
      <c r="G18" s="395"/>
      <c r="H18" s="352">
        <f t="shared" si="0"/>
        <v>0</v>
      </c>
    </row>
    <row r="19" spans="2:8" x14ac:dyDescent="0.3">
      <c r="B19" s="101">
        <v>9</v>
      </c>
      <c r="C19" s="9" t="s">
        <v>194</v>
      </c>
      <c r="D19" s="395"/>
      <c r="E19" s="395"/>
      <c r="F19" s="395"/>
      <c r="G19" s="395"/>
      <c r="H19" s="352">
        <f t="shared" si="0"/>
        <v>0</v>
      </c>
    </row>
    <row r="20" spans="2:8" x14ac:dyDescent="0.3">
      <c r="B20" s="101">
        <v>10</v>
      </c>
      <c r="C20" s="9" t="s">
        <v>195</v>
      </c>
      <c r="D20" s="395"/>
      <c r="E20" s="395"/>
      <c r="F20" s="395"/>
      <c r="G20" s="395"/>
      <c r="H20" s="352">
        <f t="shared" si="0"/>
        <v>0</v>
      </c>
    </row>
    <row r="21" spans="2:8" x14ac:dyDescent="0.3">
      <c r="B21" s="101">
        <v>11</v>
      </c>
      <c r="C21" s="9" t="s">
        <v>196</v>
      </c>
      <c r="D21" s="395"/>
      <c r="E21" s="395"/>
      <c r="F21" s="395"/>
      <c r="G21" s="395"/>
      <c r="H21" s="352">
        <f t="shared" si="0"/>
        <v>0</v>
      </c>
    </row>
    <row r="22" spans="2:8" x14ac:dyDescent="0.3">
      <c r="B22" s="101">
        <v>12</v>
      </c>
      <c r="C22" s="9" t="s">
        <v>197</v>
      </c>
      <c r="D22" s="395">
        <v>1.077028264</v>
      </c>
      <c r="E22" s="395">
        <v>0.97492660000000009</v>
      </c>
      <c r="F22" s="395">
        <v>5.0882861757719722E-2</v>
      </c>
      <c r="G22" s="395">
        <v>5.0882861757719722E-2</v>
      </c>
      <c r="H22" s="352">
        <f t="shared" si="0"/>
        <v>0.10176572351543944</v>
      </c>
    </row>
    <row r="23" spans="2:8" x14ac:dyDescent="0.3">
      <c r="B23" s="101">
        <v>13</v>
      </c>
      <c r="C23" s="9" t="s">
        <v>198</v>
      </c>
      <c r="D23" s="395"/>
      <c r="E23" s="395"/>
      <c r="F23" s="395"/>
      <c r="G23" s="395"/>
      <c r="H23" s="352">
        <f t="shared" si="0"/>
        <v>0</v>
      </c>
    </row>
    <row r="24" spans="2:8" x14ac:dyDescent="0.3">
      <c r="B24" s="101">
        <v>14</v>
      </c>
      <c r="C24" s="9" t="s">
        <v>199</v>
      </c>
      <c r="D24" s="395"/>
      <c r="E24" s="395"/>
      <c r="F24" s="395"/>
      <c r="G24" s="395"/>
      <c r="H24" s="352">
        <f t="shared" si="0"/>
        <v>0</v>
      </c>
    </row>
    <row r="25" spans="2:8" x14ac:dyDescent="0.3">
      <c r="B25" s="101">
        <v>15</v>
      </c>
      <c r="C25" s="9" t="s">
        <v>200</v>
      </c>
      <c r="D25" s="395"/>
      <c r="E25" s="395"/>
      <c r="F25" s="395"/>
      <c r="G25" s="395"/>
      <c r="H25" s="352">
        <f t="shared" si="0"/>
        <v>0</v>
      </c>
    </row>
    <row r="26" spans="2:8" x14ac:dyDescent="0.3">
      <c r="B26" s="101">
        <v>16</v>
      </c>
      <c r="C26" s="9" t="s">
        <v>201</v>
      </c>
      <c r="D26" s="395"/>
      <c r="E26" s="395"/>
      <c r="F26" s="395"/>
      <c r="G26" s="395"/>
      <c r="H26" s="352">
        <f t="shared" si="0"/>
        <v>0</v>
      </c>
    </row>
    <row r="27" spans="2:8" x14ac:dyDescent="0.3">
      <c r="B27" s="101">
        <v>17</v>
      </c>
      <c r="C27" s="9" t="s">
        <v>202</v>
      </c>
      <c r="D27" s="395"/>
      <c r="E27" s="395"/>
      <c r="F27" s="395"/>
      <c r="G27" s="395"/>
      <c r="H27" s="352">
        <f t="shared" si="0"/>
        <v>0</v>
      </c>
    </row>
    <row r="28" spans="2:8" x14ac:dyDescent="0.3">
      <c r="B28" s="101">
        <v>18</v>
      </c>
      <c r="C28" s="9" t="s">
        <v>203</v>
      </c>
      <c r="D28" s="395"/>
      <c r="E28" s="395"/>
      <c r="F28" s="395"/>
      <c r="G28" s="395"/>
      <c r="H28" s="352">
        <f t="shared" si="0"/>
        <v>0</v>
      </c>
    </row>
    <row r="29" spans="2:8" x14ac:dyDescent="0.3">
      <c r="B29" s="101">
        <f>+B28+0.1</f>
        <v>18.100000000000001</v>
      </c>
      <c r="C29" s="9" t="s">
        <v>204</v>
      </c>
      <c r="D29" s="395">
        <v>6.0562152600000001</v>
      </c>
      <c r="E29" s="395">
        <v>6.2824159000000002</v>
      </c>
      <c r="F29" s="395">
        <v>3.551085533871734</v>
      </c>
      <c r="G29" s="395">
        <v>3.5510855338717349</v>
      </c>
      <c r="H29" s="352">
        <f t="shared" si="0"/>
        <v>7.1021710677434688</v>
      </c>
    </row>
    <row r="30" spans="2:8" x14ac:dyDescent="0.3">
      <c r="B30" s="101">
        <f>+B29+0.1</f>
        <v>18.200000000000003</v>
      </c>
      <c r="C30" s="9" t="s">
        <v>205</v>
      </c>
      <c r="D30" s="395"/>
      <c r="E30" s="395"/>
      <c r="F30" s="395"/>
      <c r="G30" s="395"/>
      <c r="H30" s="352">
        <f>F30+G30</f>
        <v>0</v>
      </c>
    </row>
    <row r="31" spans="2:8" x14ac:dyDescent="0.3">
      <c r="B31" s="101">
        <f>+B30+0.1</f>
        <v>18.300000000000004</v>
      </c>
      <c r="C31" s="9" t="s">
        <v>206</v>
      </c>
      <c r="D31" s="395"/>
      <c r="E31" s="395"/>
      <c r="F31" s="395"/>
      <c r="G31" s="395"/>
      <c r="H31" s="352">
        <f t="shared" si="0"/>
        <v>0</v>
      </c>
    </row>
    <row r="32" spans="2:8" x14ac:dyDescent="0.3">
      <c r="B32" s="101">
        <f>+B31+0.1</f>
        <v>18.400000000000006</v>
      </c>
      <c r="C32" s="9" t="s">
        <v>207</v>
      </c>
      <c r="D32" s="395">
        <v>5.7402276841051112</v>
      </c>
      <c r="E32" s="395">
        <v>14.536325187950771</v>
      </c>
      <c r="F32" s="395">
        <v>0</v>
      </c>
      <c r="G32" s="395">
        <v>0</v>
      </c>
      <c r="H32" s="352">
        <f t="shared" si="0"/>
        <v>0</v>
      </c>
    </row>
    <row r="33" spans="2:13" x14ac:dyDescent="0.3">
      <c r="B33" s="101">
        <v>19</v>
      </c>
      <c r="C33" s="9" t="s">
        <v>208</v>
      </c>
      <c r="D33" s="395">
        <v>5.2954292032781236E-2</v>
      </c>
      <c r="E33" s="395">
        <v>0</v>
      </c>
      <c r="F33" s="395">
        <v>0</v>
      </c>
      <c r="G33" s="395">
        <v>0</v>
      </c>
      <c r="H33" s="352">
        <f t="shared" si="0"/>
        <v>0</v>
      </c>
    </row>
    <row r="34" spans="2:13" x14ac:dyDescent="0.3">
      <c r="B34" s="101">
        <f>+B33+1</f>
        <v>20</v>
      </c>
      <c r="C34" s="9" t="s">
        <v>852</v>
      </c>
      <c r="D34" s="395">
        <v>0.54455396099999998</v>
      </c>
      <c r="E34" s="395">
        <v>0.50597993999999991</v>
      </c>
      <c r="F34" s="395">
        <v>3.3751716171021265E-3</v>
      </c>
      <c r="G34" s="395">
        <v>3.3751716171021399E-3</v>
      </c>
      <c r="H34" s="352">
        <f t="shared" si="0"/>
        <v>6.750343234204266E-3</v>
      </c>
    </row>
    <row r="35" spans="2:13" x14ac:dyDescent="0.3">
      <c r="B35" s="101">
        <f t="shared" ref="B35:B40" si="1">+B34+1</f>
        <v>21</v>
      </c>
      <c r="C35" s="9" t="s">
        <v>853</v>
      </c>
      <c r="D35" s="395">
        <v>4.6430661071898207</v>
      </c>
      <c r="E35" s="395">
        <v>10.047266852933774</v>
      </c>
      <c r="F35" s="395">
        <v>0</v>
      </c>
      <c r="G35" s="395">
        <v>0</v>
      </c>
      <c r="H35" s="352">
        <f t="shared" si="0"/>
        <v>0</v>
      </c>
    </row>
    <row r="36" spans="2:13" x14ac:dyDescent="0.3">
      <c r="B36" s="101">
        <f t="shared" si="1"/>
        <v>22</v>
      </c>
      <c r="C36" s="39" t="s">
        <v>209</v>
      </c>
      <c r="D36" s="363">
        <f t="shared" ref="D36:H36" si="2">SUM(D11:D35)</f>
        <v>86.086682726991199</v>
      </c>
      <c r="E36" s="363">
        <f t="shared" si="2"/>
        <v>112.51871209392135</v>
      </c>
      <c r="F36" s="363">
        <f t="shared" si="2"/>
        <v>44.087455362471125</v>
      </c>
      <c r="G36" s="363">
        <f t="shared" si="2"/>
        <v>43.242330848185404</v>
      </c>
      <c r="H36" s="363">
        <f t="shared" si="2"/>
        <v>87.329786210656508</v>
      </c>
    </row>
    <row r="37" spans="2:13" x14ac:dyDescent="0.3">
      <c r="B37" s="101">
        <f t="shared" si="1"/>
        <v>23</v>
      </c>
      <c r="C37" s="9" t="s">
        <v>35</v>
      </c>
      <c r="D37" s="395"/>
      <c r="E37" s="352"/>
      <c r="F37" s="352"/>
      <c r="G37" s="352"/>
      <c r="H37" s="352"/>
    </row>
    <row r="38" spans="2:13" s="22" customFormat="1" x14ac:dyDescent="0.25">
      <c r="B38" s="102">
        <f t="shared" si="1"/>
        <v>24</v>
      </c>
      <c r="C38" s="26" t="s">
        <v>210</v>
      </c>
      <c r="D38" s="371">
        <f t="shared" ref="D38:H38" si="3">D36-D37</f>
        <v>86.086682726991199</v>
      </c>
      <c r="E38" s="371">
        <f t="shared" si="3"/>
        <v>112.51871209392135</v>
      </c>
      <c r="F38" s="371">
        <f t="shared" si="3"/>
        <v>44.087455362471125</v>
      </c>
      <c r="G38" s="371">
        <f>G36-G37</f>
        <v>43.242330848185404</v>
      </c>
      <c r="H38" s="371">
        <f t="shared" si="3"/>
        <v>87.329786210656508</v>
      </c>
    </row>
    <row r="39" spans="2:13" x14ac:dyDescent="0.25">
      <c r="B39" s="556">
        <f>B38+1</f>
        <v>25</v>
      </c>
      <c r="C39" s="361" t="s">
        <v>939</v>
      </c>
      <c r="D39" s="480" t="e">
        <f>SUM('F13'!#REF!)</f>
        <v>#REF!</v>
      </c>
      <c r="E39" s="480" t="e">
        <f>SUM('F13'!#REF!)</f>
        <v>#REF!</v>
      </c>
      <c r="F39" s="480"/>
      <c r="G39" s="480"/>
      <c r="H39" s="480"/>
    </row>
    <row r="40" spans="2:13" s="22" customFormat="1" x14ac:dyDescent="0.25">
      <c r="B40" s="360">
        <f t="shared" si="1"/>
        <v>26</v>
      </c>
      <c r="C40" s="280" t="s">
        <v>886</v>
      </c>
      <c r="D40" s="502" t="e">
        <f t="shared" ref="D40:H40" si="4">SUM(D38:D39)</f>
        <v>#REF!</v>
      </c>
      <c r="E40" s="502" t="e">
        <f t="shared" si="4"/>
        <v>#REF!</v>
      </c>
      <c r="F40" s="502">
        <f>SUM(F38:F39)</f>
        <v>44.087455362471125</v>
      </c>
      <c r="G40" s="502">
        <f>SUM(G38:G39)</f>
        <v>43.242330848185404</v>
      </c>
      <c r="H40" s="502">
        <f t="shared" si="4"/>
        <v>87.329786210656508</v>
      </c>
    </row>
    <row r="41" spans="2:13" x14ac:dyDescent="0.3">
      <c r="B41" s="557"/>
      <c r="C41" s="361"/>
      <c r="D41" s="558"/>
      <c r="E41" s="558"/>
      <c r="F41" s="361"/>
      <c r="G41" s="361"/>
      <c r="H41" s="558"/>
      <c r="I41" s="621"/>
      <c r="J41" s="558"/>
      <c r="K41" s="558"/>
      <c r="L41" s="558"/>
      <c r="M41" s="558"/>
    </row>
    <row r="42" spans="2:13" x14ac:dyDescent="0.25">
      <c r="B42" s="361"/>
      <c r="C42" s="361"/>
      <c r="D42" s="361"/>
      <c r="E42" s="361"/>
      <c r="F42" s="361"/>
      <c r="G42" s="361"/>
      <c r="H42" s="361"/>
      <c r="I42" s="361"/>
      <c r="J42" s="361"/>
      <c r="K42" s="361"/>
      <c r="L42" s="361"/>
    </row>
    <row r="43" spans="2:13" x14ac:dyDescent="0.25">
      <c r="B43" s="22" t="s">
        <v>211</v>
      </c>
    </row>
    <row r="44" spans="2:13" x14ac:dyDescent="0.25">
      <c r="I44" s="22" t="s">
        <v>619</v>
      </c>
    </row>
    <row r="45" spans="2:13" ht="15" customHeight="1" x14ac:dyDescent="0.25">
      <c r="B45" s="1474" t="s">
        <v>343</v>
      </c>
      <c r="C45" s="1474" t="s">
        <v>37</v>
      </c>
      <c r="D45" s="589" t="s">
        <v>519</v>
      </c>
      <c r="E45" s="589" t="s">
        <v>520</v>
      </c>
      <c r="F45" s="1476" t="s">
        <v>521</v>
      </c>
      <c r="G45" s="1476"/>
      <c r="H45" s="1476"/>
    </row>
    <row r="46" spans="2:13" ht="28" x14ac:dyDescent="0.25">
      <c r="B46" s="1474"/>
      <c r="C46" s="1474"/>
      <c r="D46" s="331" t="s">
        <v>79</v>
      </c>
      <c r="E46" s="331" t="s">
        <v>79</v>
      </c>
      <c r="F46" s="331" t="s">
        <v>450</v>
      </c>
      <c r="G46" s="331" t="s">
        <v>455</v>
      </c>
      <c r="H46" s="331" t="s">
        <v>80</v>
      </c>
    </row>
    <row r="47" spans="2:13" x14ac:dyDescent="0.25">
      <c r="B47" s="1474"/>
      <c r="C47" s="1474"/>
      <c r="D47" s="589" t="s">
        <v>81</v>
      </c>
      <c r="E47" s="589" t="s">
        <v>950</v>
      </c>
      <c r="F47" s="589" t="s">
        <v>472</v>
      </c>
      <c r="G47" s="589" t="s">
        <v>397</v>
      </c>
      <c r="H47" s="589" t="s">
        <v>951</v>
      </c>
    </row>
    <row r="48" spans="2:13" x14ac:dyDescent="0.25">
      <c r="B48" s="23"/>
      <c r="C48" s="23"/>
      <c r="D48" s="23"/>
      <c r="E48" s="23"/>
      <c r="F48" s="23"/>
      <c r="G48" s="23"/>
      <c r="H48" s="23"/>
    </row>
    <row r="49" spans="2:8" x14ac:dyDescent="0.25">
      <c r="B49" s="102" t="s">
        <v>170</v>
      </c>
      <c r="C49" s="26" t="s">
        <v>212</v>
      </c>
      <c r="D49" s="26"/>
      <c r="E49" s="26"/>
      <c r="F49" s="23"/>
      <c r="G49" s="23"/>
      <c r="H49" s="23"/>
    </row>
    <row r="50" spans="2:8" x14ac:dyDescent="0.25">
      <c r="B50" s="96">
        <v>1</v>
      </c>
      <c r="C50" s="213" t="s">
        <v>213</v>
      </c>
      <c r="D50" s="213">
        <v>13</v>
      </c>
      <c r="E50" s="213">
        <v>0</v>
      </c>
      <c r="F50" s="23">
        <f>E50</f>
        <v>0</v>
      </c>
      <c r="G50" s="23">
        <f>E50</f>
        <v>0</v>
      </c>
      <c r="H50" s="23">
        <f>E50</f>
        <v>0</v>
      </c>
    </row>
    <row r="51" spans="2:8" x14ac:dyDescent="0.25">
      <c r="B51" s="96">
        <v>2</v>
      </c>
      <c r="C51" s="213" t="s">
        <v>214</v>
      </c>
      <c r="D51" s="213">
        <v>9</v>
      </c>
      <c r="E51" s="213">
        <v>0</v>
      </c>
      <c r="F51" s="23">
        <f t="shared" ref="F51:F78" si="5">E51</f>
        <v>0</v>
      </c>
      <c r="G51" s="23">
        <f t="shared" ref="G51:G78" si="6">E51</f>
        <v>0</v>
      </c>
      <c r="H51" s="23">
        <f t="shared" ref="H51:H78" si="7">E51</f>
        <v>0</v>
      </c>
    </row>
    <row r="52" spans="2:8" x14ac:dyDescent="0.25">
      <c r="B52" s="96">
        <v>3</v>
      </c>
      <c r="C52" s="213" t="s">
        <v>215</v>
      </c>
      <c r="D52" s="213">
        <v>4</v>
      </c>
      <c r="E52" s="213">
        <v>0</v>
      </c>
      <c r="F52" s="23">
        <f t="shared" si="5"/>
        <v>0</v>
      </c>
      <c r="G52" s="23">
        <f t="shared" si="6"/>
        <v>0</v>
      </c>
      <c r="H52" s="23">
        <f t="shared" si="7"/>
        <v>0</v>
      </c>
    </row>
    <row r="53" spans="2:8" x14ac:dyDescent="0.25">
      <c r="B53" s="96">
        <v>4</v>
      </c>
      <c r="C53" s="213" t="s">
        <v>216</v>
      </c>
      <c r="D53" s="213">
        <v>8</v>
      </c>
      <c r="E53" s="213">
        <v>0</v>
      </c>
      <c r="F53" s="23">
        <f t="shared" si="5"/>
        <v>0</v>
      </c>
      <c r="G53" s="23">
        <f t="shared" si="6"/>
        <v>0</v>
      </c>
      <c r="H53" s="23">
        <f t="shared" si="7"/>
        <v>0</v>
      </c>
    </row>
    <row r="54" spans="2:8" x14ac:dyDescent="0.25">
      <c r="B54" s="96"/>
      <c r="C54" s="213"/>
      <c r="D54" s="213"/>
      <c r="E54" s="213"/>
      <c r="F54" s="23">
        <f t="shared" si="5"/>
        <v>0</v>
      </c>
      <c r="G54" s="23">
        <f t="shared" si="6"/>
        <v>0</v>
      </c>
      <c r="H54" s="23">
        <f t="shared" si="7"/>
        <v>0</v>
      </c>
    </row>
    <row r="55" spans="2:8" x14ac:dyDescent="0.25">
      <c r="B55" s="214" t="s">
        <v>183</v>
      </c>
      <c r="C55" s="154" t="s">
        <v>217</v>
      </c>
      <c r="D55" s="154"/>
      <c r="E55" s="154"/>
      <c r="F55" s="23">
        <f t="shared" si="5"/>
        <v>0</v>
      </c>
      <c r="G55" s="23">
        <f t="shared" si="6"/>
        <v>0</v>
      </c>
      <c r="H55" s="23">
        <f t="shared" si="7"/>
        <v>0</v>
      </c>
    </row>
    <row r="56" spans="2:8" x14ac:dyDescent="0.25">
      <c r="B56" s="96">
        <v>5</v>
      </c>
      <c r="C56" s="154" t="s">
        <v>213</v>
      </c>
      <c r="D56" s="154"/>
      <c r="E56" s="154"/>
      <c r="F56" s="23">
        <f t="shared" si="5"/>
        <v>0</v>
      </c>
      <c r="G56" s="23">
        <f t="shared" si="6"/>
        <v>0</v>
      </c>
      <c r="H56" s="23">
        <f t="shared" si="7"/>
        <v>0</v>
      </c>
    </row>
    <row r="57" spans="2:8" x14ac:dyDescent="0.25">
      <c r="B57" s="96">
        <f>+B56+0.1</f>
        <v>5.0999999999999996</v>
      </c>
      <c r="C57" s="213" t="s">
        <v>218</v>
      </c>
      <c r="D57" s="213">
        <v>14</v>
      </c>
      <c r="E57" s="213">
        <v>0</v>
      </c>
      <c r="F57" s="23">
        <f t="shared" si="5"/>
        <v>0</v>
      </c>
      <c r="G57" s="23">
        <f t="shared" si="6"/>
        <v>0</v>
      </c>
      <c r="H57" s="23">
        <f t="shared" si="7"/>
        <v>0</v>
      </c>
    </row>
    <row r="58" spans="2:8" x14ac:dyDescent="0.25">
      <c r="B58" s="96">
        <f>+B57+0.1</f>
        <v>5.1999999999999993</v>
      </c>
      <c r="C58" s="213" t="s">
        <v>219</v>
      </c>
      <c r="D58" s="213">
        <v>121</v>
      </c>
      <c r="E58" s="213">
        <v>0</v>
      </c>
      <c r="F58" s="23">
        <f t="shared" si="5"/>
        <v>0</v>
      </c>
      <c r="G58" s="23">
        <f t="shared" si="6"/>
        <v>0</v>
      </c>
      <c r="H58" s="23">
        <f t="shared" si="7"/>
        <v>0</v>
      </c>
    </row>
    <row r="59" spans="2:8" x14ac:dyDescent="0.25">
      <c r="B59" s="96">
        <f>+B58+0.1</f>
        <v>5.2999999999999989</v>
      </c>
      <c r="C59" s="213" t="s">
        <v>220</v>
      </c>
      <c r="D59" s="213">
        <v>234</v>
      </c>
      <c r="E59" s="213">
        <v>0</v>
      </c>
      <c r="F59" s="23">
        <f t="shared" si="5"/>
        <v>0</v>
      </c>
      <c r="G59" s="23">
        <f t="shared" si="6"/>
        <v>0</v>
      </c>
      <c r="H59" s="23">
        <f t="shared" si="7"/>
        <v>0</v>
      </c>
    </row>
    <row r="60" spans="2:8" x14ac:dyDescent="0.25">
      <c r="B60" s="96">
        <f>+B59+0.1</f>
        <v>5.3999999999999986</v>
      </c>
      <c r="C60" s="213" t="s">
        <v>221</v>
      </c>
      <c r="D60" s="213">
        <v>0</v>
      </c>
      <c r="E60" s="213">
        <v>0</v>
      </c>
      <c r="F60" s="23">
        <f t="shared" si="5"/>
        <v>0</v>
      </c>
      <c r="G60" s="23">
        <f t="shared" si="6"/>
        <v>0</v>
      </c>
      <c r="H60" s="23">
        <f t="shared" si="7"/>
        <v>0</v>
      </c>
    </row>
    <row r="61" spans="2:8" x14ac:dyDescent="0.25">
      <c r="B61" s="96"/>
      <c r="C61" s="213"/>
      <c r="D61" s="213"/>
      <c r="E61" s="213"/>
      <c r="F61" s="23">
        <f t="shared" si="5"/>
        <v>0</v>
      </c>
      <c r="G61" s="23">
        <f t="shared" si="6"/>
        <v>0</v>
      </c>
      <c r="H61" s="23">
        <f t="shared" si="7"/>
        <v>0</v>
      </c>
    </row>
    <row r="62" spans="2:8" x14ac:dyDescent="0.25">
      <c r="B62" s="96">
        <v>6</v>
      </c>
      <c r="C62" s="154" t="s">
        <v>214</v>
      </c>
      <c r="D62" s="154"/>
      <c r="E62" s="154"/>
      <c r="F62" s="23">
        <f t="shared" si="5"/>
        <v>0</v>
      </c>
      <c r="G62" s="23">
        <f t="shared" si="6"/>
        <v>0</v>
      </c>
      <c r="H62" s="23">
        <f t="shared" si="7"/>
        <v>0</v>
      </c>
    </row>
    <row r="63" spans="2:8" x14ac:dyDescent="0.25">
      <c r="B63" s="96">
        <f>+B62+0.1</f>
        <v>6.1</v>
      </c>
      <c r="C63" s="213" t="s">
        <v>218</v>
      </c>
      <c r="D63" s="213">
        <v>4</v>
      </c>
      <c r="E63" s="213">
        <v>0</v>
      </c>
      <c r="F63" s="23">
        <f t="shared" si="5"/>
        <v>0</v>
      </c>
      <c r="G63" s="23">
        <f t="shared" si="6"/>
        <v>0</v>
      </c>
      <c r="H63" s="23">
        <f t="shared" si="7"/>
        <v>0</v>
      </c>
    </row>
    <row r="64" spans="2:8" x14ac:dyDescent="0.25">
      <c r="B64" s="96">
        <f>+B63+0.1</f>
        <v>6.1999999999999993</v>
      </c>
      <c r="C64" s="213" t="s">
        <v>219</v>
      </c>
      <c r="D64" s="213">
        <v>1</v>
      </c>
      <c r="E64" s="213">
        <v>0</v>
      </c>
      <c r="F64" s="23">
        <f t="shared" si="5"/>
        <v>0</v>
      </c>
      <c r="G64" s="23">
        <f t="shared" si="6"/>
        <v>0</v>
      </c>
      <c r="H64" s="23">
        <f t="shared" si="7"/>
        <v>0</v>
      </c>
    </row>
    <row r="65" spans="2:8" x14ac:dyDescent="0.25">
      <c r="B65" s="96">
        <f>+B64+0.1</f>
        <v>6.2999999999999989</v>
      </c>
      <c r="C65" s="213" t="s">
        <v>220</v>
      </c>
      <c r="D65" s="213">
        <v>11</v>
      </c>
      <c r="E65" s="213">
        <v>0</v>
      </c>
      <c r="F65" s="23">
        <f t="shared" si="5"/>
        <v>0</v>
      </c>
      <c r="G65" s="23">
        <f t="shared" si="6"/>
        <v>0</v>
      </c>
      <c r="H65" s="23">
        <f t="shared" si="7"/>
        <v>0</v>
      </c>
    </row>
    <row r="66" spans="2:8" x14ac:dyDescent="0.25">
      <c r="B66" s="96">
        <f>+B65+0.1</f>
        <v>6.3999999999999986</v>
      </c>
      <c r="C66" s="213" t="s">
        <v>221</v>
      </c>
      <c r="D66" s="213">
        <v>10</v>
      </c>
      <c r="E66" s="213">
        <v>0</v>
      </c>
      <c r="F66" s="23">
        <f t="shared" si="5"/>
        <v>0</v>
      </c>
      <c r="G66" s="23">
        <f t="shared" si="6"/>
        <v>0</v>
      </c>
      <c r="H66" s="23">
        <f t="shared" si="7"/>
        <v>0</v>
      </c>
    </row>
    <row r="67" spans="2:8" x14ac:dyDescent="0.25">
      <c r="B67" s="96"/>
      <c r="C67" s="213"/>
      <c r="D67" s="213"/>
      <c r="E67" s="213"/>
      <c r="F67" s="23">
        <f t="shared" si="5"/>
        <v>0</v>
      </c>
      <c r="G67" s="23">
        <f t="shared" si="6"/>
        <v>0</v>
      </c>
      <c r="H67" s="23">
        <f t="shared" si="7"/>
        <v>0</v>
      </c>
    </row>
    <row r="68" spans="2:8" x14ac:dyDescent="0.25">
      <c r="B68" s="96">
        <v>7</v>
      </c>
      <c r="C68" s="154" t="s">
        <v>215</v>
      </c>
      <c r="D68" s="154"/>
      <c r="E68" s="154"/>
      <c r="F68" s="23">
        <f t="shared" si="5"/>
        <v>0</v>
      </c>
      <c r="G68" s="23">
        <f t="shared" si="6"/>
        <v>0</v>
      </c>
      <c r="H68" s="23">
        <f t="shared" si="7"/>
        <v>0</v>
      </c>
    </row>
    <row r="69" spans="2:8" x14ac:dyDescent="0.25">
      <c r="B69" s="96">
        <f>+B68+0.1</f>
        <v>7.1</v>
      </c>
      <c r="C69" s="213" t="s">
        <v>218</v>
      </c>
      <c r="D69" s="213">
        <v>1</v>
      </c>
      <c r="E69" s="213">
        <v>0</v>
      </c>
      <c r="F69" s="23">
        <f t="shared" si="5"/>
        <v>0</v>
      </c>
      <c r="G69" s="23">
        <f t="shared" si="6"/>
        <v>0</v>
      </c>
      <c r="H69" s="23">
        <f t="shared" si="7"/>
        <v>0</v>
      </c>
    </row>
    <row r="70" spans="2:8" x14ac:dyDescent="0.25">
      <c r="B70" s="96">
        <f>+B69+0.1</f>
        <v>7.1999999999999993</v>
      </c>
      <c r="C70" s="213" t="s">
        <v>219</v>
      </c>
      <c r="D70" s="213">
        <v>4</v>
      </c>
      <c r="E70" s="213">
        <v>0</v>
      </c>
      <c r="F70" s="23">
        <f t="shared" si="5"/>
        <v>0</v>
      </c>
      <c r="G70" s="23">
        <f t="shared" si="6"/>
        <v>0</v>
      </c>
      <c r="H70" s="23">
        <f t="shared" si="7"/>
        <v>0</v>
      </c>
    </row>
    <row r="71" spans="2:8" x14ac:dyDescent="0.25">
      <c r="B71" s="96">
        <f>+B70+0.1</f>
        <v>7.2999999999999989</v>
      </c>
      <c r="C71" s="213" t="s">
        <v>220</v>
      </c>
      <c r="D71" s="213">
        <v>10</v>
      </c>
      <c r="E71" s="213">
        <v>0</v>
      </c>
      <c r="F71" s="23">
        <f t="shared" si="5"/>
        <v>0</v>
      </c>
      <c r="G71" s="23">
        <f t="shared" si="6"/>
        <v>0</v>
      </c>
      <c r="H71" s="23">
        <f t="shared" si="7"/>
        <v>0</v>
      </c>
    </row>
    <row r="72" spans="2:8" x14ac:dyDescent="0.25">
      <c r="B72" s="96">
        <f>+B71+0.1</f>
        <v>7.3999999999999986</v>
      </c>
      <c r="C72" s="213" t="s">
        <v>221</v>
      </c>
      <c r="D72" s="213">
        <v>0</v>
      </c>
      <c r="E72" s="213">
        <v>0</v>
      </c>
      <c r="F72" s="23">
        <f t="shared" si="5"/>
        <v>0</v>
      </c>
      <c r="G72" s="23">
        <f t="shared" si="6"/>
        <v>0</v>
      </c>
      <c r="H72" s="23">
        <f t="shared" si="7"/>
        <v>0</v>
      </c>
    </row>
    <row r="73" spans="2:8" x14ac:dyDescent="0.25">
      <c r="B73" s="96"/>
      <c r="C73" s="213"/>
      <c r="D73" s="213"/>
      <c r="E73" s="213"/>
      <c r="F73" s="23">
        <f t="shared" si="5"/>
        <v>0</v>
      </c>
      <c r="G73" s="23">
        <f t="shared" si="6"/>
        <v>0</v>
      </c>
      <c r="H73" s="23">
        <f t="shared" si="7"/>
        <v>0</v>
      </c>
    </row>
    <row r="74" spans="2:8" x14ac:dyDescent="0.25">
      <c r="B74" s="96">
        <v>8</v>
      </c>
      <c r="C74" s="154" t="s">
        <v>222</v>
      </c>
      <c r="D74" s="154"/>
      <c r="E74" s="154"/>
      <c r="F74" s="23">
        <f t="shared" si="5"/>
        <v>0</v>
      </c>
      <c r="G74" s="23">
        <f t="shared" si="6"/>
        <v>0</v>
      </c>
      <c r="H74" s="23">
        <f t="shared" si="7"/>
        <v>0</v>
      </c>
    </row>
    <row r="75" spans="2:8" x14ac:dyDescent="0.25">
      <c r="B75" s="96">
        <f>+B74+0.1</f>
        <v>8.1</v>
      </c>
      <c r="C75" s="213" t="s">
        <v>218</v>
      </c>
      <c r="D75" s="213">
        <v>2</v>
      </c>
      <c r="E75" s="213">
        <v>0</v>
      </c>
      <c r="F75" s="23">
        <f t="shared" si="5"/>
        <v>0</v>
      </c>
      <c r="G75" s="23">
        <f t="shared" si="6"/>
        <v>0</v>
      </c>
      <c r="H75" s="23">
        <f t="shared" si="7"/>
        <v>0</v>
      </c>
    </row>
    <row r="76" spans="2:8" x14ac:dyDescent="0.25">
      <c r="B76" s="96">
        <f>+B75+0.1</f>
        <v>8.1999999999999993</v>
      </c>
      <c r="C76" s="213" t="s">
        <v>219</v>
      </c>
      <c r="D76" s="213">
        <v>7</v>
      </c>
      <c r="E76" s="213">
        <v>0</v>
      </c>
      <c r="F76" s="23">
        <f t="shared" si="5"/>
        <v>0</v>
      </c>
      <c r="G76" s="23">
        <f t="shared" si="6"/>
        <v>0</v>
      </c>
      <c r="H76" s="23">
        <f t="shared" si="7"/>
        <v>0</v>
      </c>
    </row>
    <row r="77" spans="2:8" x14ac:dyDescent="0.25">
      <c r="B77" s="96">
        <f>+B76+0.1</f>
        <v>8.2999999999999989</v>
      </c>
      <c r="C77" s="213" t="s">
        <v>220</v>
      </c>
      <c r="D77" s="213">
        <v>9</v>
      </c>
      <c r="E77" s="213">
        <v>0</v>
      </c>
      <c r="F77" s="23">
        <f t="shared" si="5"/>
        <v>0</v>
      </c>
      <c r="G77" s="23">
        <f t="shared" si="6"/>
        <v>0</v>
      </c>
      <c r="H77" s="23">
        <f t="shared" si="7"/>
        <v>0</v>
      </c>
    </row>
    <row r="78" spans="2:8" x14ac:dyDescent="0.25">
      <c r="B78" s="96">
        <f>+B77+0.1</f>
        <v>8.3999999999999986</v>
      </c>
      <c r="C78" s="213" t="s">
        <v>221</v>
      </c>
      <c r="D78" s="213">
        <v>4</v>
      </c>
      <c r="E78" s="213">
        <v>0</v>
      </c>
      <c r="F78" s="23">
        <f t="shared" si="5"/>
        <v>0</v>
      </c>
      <c r="G78" s="23">
        <f t="shared" si="6"/>
        <v>0</v>
      </c>
      <c r="H78" s="23">
        <f t="shared" si="7"/>
        <v>0</v>
      </c>
    </row>
    <row r="79" spans="2:8" x14ac:dyDescent="0.3">
      <c r="B79" s="215"/>
      <c r="C79" s="12" t="s">
        <v>223</v>
      </c>
      <c r="D79" s="960">
        <f t="shared" ref="D79:H79" si="8">SUM(D50:D78)</f>
        <v>466</v>
      </c>
      <c r="E79" s="961">
        <f t="shared" si="8"/>
        <v>0</v>
      </c>
      <c r="F79" s="962">
        <f t="shared" si="8"/>
        <v>0</v>
      </c>
      <c r="G79" s="962">
        <f t="shared" si="8"/>
        <v>0</v>
      </c>
      <c r="H79" s="962">
        <f t="shared" si="8"/>
        <v>0</v>
      </c>
    </row>
  </sheetData>
  <mergeCells count="9">
    <mergeCell ref="B45:B47"/>
    <mergeCell ref="C45:C47"/>
    <mergeCell ref="F45:H45"/>
    <mergeCell ref="B2:I2"/>
    <mergeCell ref="B3:I3"/>
    <mergeCell ref="B4:I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K46"/>
  <sheetViews>
    <sheetView showGridLines="0" view="pageBreakPreview" zoomScale="60" zoomScaleNormal="80" workbookViewId="0">
      <pane xSplit="3" ySplit="9" topLeftCell="D10" activePane="bottomRight" state="frozen"/>
      <selection pane="topRight" activeCell="D1" sqref="D1"/>
      <selection pane="bottomLeft" activeCell="A10" sqref="A10"/>
      <selection pane="bottomRight" activeCell="L26" sqref="L26"/>
    </sheetView>
  </sheetViews>
  <sheetFormatPr defaultColWidth="9.36328125" defaultRowHeight="14" x14ac:dyDescent="0.25"/>
  <cols>
    <col min="1" max="1" width="6.6328125" style="13" customWidth="1"/>
    <col min="2" max="2" width="7" style="100" customWidth="1"/>
    <col min="3" max="3" width="44.36328125" style="13" customWidth="1"/>
    <col min="4" max="10" width="15.6328125" style="13" customWidth="1"/>
    <col min="11" max="11" width="14.6328125" style="13" customWidth="1"/>
    <col min="12" max="12" width="14.90625" style="13" customWidth="1"/>
    <col min="13" max="13" width="14.36328125" style="13" customWidth="1"/>
    <col min="14" max="16384" width="9.36328125" style="13"/>
  </cols>
  <sheetData>
    <row r="2" spans="2:11" x14ac:dyDescent="0.25">
      <c r="B2" s="1468" t="str">
        <f>Index!B2</f>
        <v xml:space="preserve">      Maharashtra State Power Generation Company Ltd.</v>
      </c>
      <c r="C2" s="1469"/>
      <c r="D2" s="1469"/>
      <c r="E2" s="1469"/>
      <c r="F2" s="1469"/>
      <c r="G2" s="1469"/>
      <c r="H2" s="1469"/>
      <c r="I2" s="1469"/>
      <c r="J2" s="1469"/>
      <c r="K2" s="1469"/>
    </row>
    <row r="3" spans="2:11" s="5" customFormat="1" x14ac:dyDescent="0.3">
      <c r="B3" s="1468" t="str">
        <f>Index!B3</f>
        <v>MYT Petition Formats for SHP Hydro</v>
      </c>
      <c r="C3" s="1469"/>
      <c r="D3" s="1469"/>
      <c r="E3" s="1469"/>
      <c r="F3" s="1469"/>
      <c r="G3" s="1469"/>
      <c r="H3" s="1469"/>
      <c r="I3" s="1469"/>
      <c r="J3" s="1469"/>
      <c r="K3" s="1469"/>
    </row>
    <row r="4" spans="2:11" s="5" customFormat="1" x14ac:dyDescent="0.3">
      <c r="B4" s="1470" t="s">
        <v>224</v>
      </c>
      <c r="C4" s="1469"/>
      <c r="D4" s="1469"/>
      <c r="E4" s="1469"/>
      <c r="F4" s="1469"/>
      <c r="G4" s="1469"/>
      <c r="H4" s="1469"/>
      <c r="I4" s="1469"/>
      <c r="J4" s="1469"/>
      <c r="K4" s="1469"/>
    </row>
    <row r="6" spans="2:11" x14ac:dyDescent="0.25">
      <c r="H6" s="21" t="s">
        <v>10</v>
      </c>
      <c r="I6" s="21"/>
    </row>
    <row r="7" spans="2:11" ht="12.75" customHeight="1" x14ac:dyDescent="0.25">
      <c r="B7" s="1476" t="s">
        <v>343</v>
      </c>
      <c r="C7" s="1474" t="s">
        <v>37</v>
      </c>
      <c r="D7" s="589" t="s">
        <v>519</v>
      </c>
      <c r="E7" s="589" t="s">
        <v>520</v>
      </c>
      <c r="F7" s="1476" t="s">
        <v>521</v>
      </c>
      <c r="G7" s="1476"/>
      <c r="H7" s="1476"/>
    </row>
    <row r="8" spans="2:11" ht="28" x14ac:dyDescent="0.25">
      <c r="B8" s="1476"/>
      <c r="C8" s="1474"/>
      <c r="D8" s="589" t="s">
        <v>79</v>
      </c>
      <c r="E8" s="589" t="s">
        <v>79</v>
      </c>
      <c r="F8" s="589" t="s">
        <v>450</v>
      </c>
      <c r="G8" s="589" t="s">
        <v>455</v>
      </c>
      <c r="H8" s="589" t="s">
        <v>80</v>
      </c>
    </row>
    <row r="9" spans="2:11" x14ac:dyDescent="0.25">
      <c r="B9" s="1476"/>
      <c r="C9" s="1474"/>
      <c r="D9" s="589" t="s">
        <v>81</v>
      </c>
      <c r="E9" s="589" t="s">
        <v>950</v>
      </c>
      <c r="F9" s="589" t="s">
        <v>472</v>
      </c>
      <c r="G9" s="589" t="s">
        <v>397</v>
      </c>
      <c r="H9" s="589" t="s">
        <v>951</v>
      </c>
    </row>
    <row r="10" spans="2:11" x14ac:dyDescent="0.25">
      <c r="B10" s="101"/>
      <c r="C10" s="23"/>
      <c r="D10" s="23"/>
      <c r="E10" s="23"/>
      <c r="F10" s="23"/>
      <c r="G10" s="23"/>
      <c r="H10" s="23"/>
    </row>
    <row r="11" spans="2:11" x14ac:dyDescent="0.25">
      <c r="B11" s="101">
        <v>1</v>
      </c>
      <c r="C11" s="23" t="s">
        <v>854</v>
      </c>
      <c r="D11" s="359">
        <v>-9.9987573776161298E-10</v>
      </c>
      <c r="E11" s="359">
        <v>1.033319442270328</v>
      </c>
      <c r="F11" s="359">
        <v>0</v>
      </c>
      <c r="G11" s="359">
        <v>0</v>
      </c>
      <c r="H11" s="352">
        <f>F11+G11</f>
        <v>0</v>
      </c>
    </row>
    <row r="12" spans="2:11" x14ac:dyDescent="0.25">
      <c r="B12" s="101">
        <f>+B11+1</f>
        <v>2</v>
      </c>
      <c r="C12" s="27" t="s">
        <v>225</v>
      </c>
      <c r="D12" s="352">
        <v>4.5031339999999996E-2</v>
      </c>
      <c r="E12" s="352">
        <v>3.0050159999999999E-2</v>
      </c>
      <c r="F12" s="352">
        <v>1.8754713695283341E-2</v>
      </c>
      <c r="G12" s="352">
        <v>2.239684226671191E-2</v>
      </c>
      <c r="H12" s="352">
        <f>F12+G12</f>
        <v>4.1151555961995254E-2</v>
      </c>
    </row>
    <row r="13" spans="2:11" x14ac:dyDescent="0.3">
      <c r="B13" s="101">
        <f t="shared" ref="B13:B43" si="0">+B12+1</f>
        <v>3</v>
      </c>
      <c r="C13" s="462" t="s">
        <v>226</v>
      </c>
      <c r="D13" s="352">
        <v>0.79280078100000007</v>
      </c>
      <c r="E13" s="352">
        <v>0.94092773000000007</v>
      </c>
      <c r="F13" s="352">
        <v>1.0670263592236173</v>
      </c>
      <c r="G13" s="352">
        <v>1.0473844289379031</v>
      </c>
      <c r="H13" s="352">
        <f>F13+G13</f>
        <v>2.1144107881615204</v>
      </c>
    </row>
    <row r="14" spans="2:11" x14ac:dyDescent="0.3">
      <c r="B14" s="101">
        <f t="shared" si="0"/>
        <v>4</v>
      </c>
      <c r="C14" s="462" t="s">
        <v>227</v>
      </c>
      <c r="D14" s="352">
        <v>0.110143741</v>
      </c>
      <c r="E14" s="352">
        <v>0.10542179</v>
      </c>
      <c r="F14" s="352">
        <v>0.16091125100088227</v>
      </c>
      <c r="G14" s="352">
        <v>6.3932935858025106E-2</v>
      </c>
      <c r="H14" s="352">
        <f t="shared" ref="H14:H43" si="1">F14+G14</f>
        <v>0.22484418685890739</v>
      </c>
    </row>
    <row r="15" spans="2:11" x14ac:dyDescent="0.3">
      <c r="B15" s="101">
        <f t="shared" si="0"/>
        <v>5</v>
      </c>
      <c r="C15" s="462" t="s">
        <v>228</v>
      </c>
      <c r="D15" s="352">
        <v>1E-3</v>
      </c>
      <c r="E15" s="352">
        <v>0</v>
      </c>
      <c r="F15" s="352">
        <v>0</v>
      </c>
      <c r="G15" s="352">
        <v>0</v>
      </c>
      <c r="H15" s="352">
        <f t="shared" si="1"/>
        <v>0</v>
      </c>
    </row>
    <row r="16" spans="2:11" x14ac:dyDescent="0.3">
      <c r="B16" s="101">
        <f t="shared" si="0"/>
        <v>6</v>
      </c>
      <c r="C16" s="462" t="s">
        <v>229</v>
      </c>
      <c r="D16" s="352">
        <v>0.25824414699999998</v>
      </c>
      <c r="E16" s="352">
        <v>8.2507200000000003E-2</v>
      </c>
      <c r="F16" s="352">
        <v>0.20208945714285714</v>
      </c>
      <c r="G16" s="352">
        <v>0.2378037428571429</v>
      </c>
      <c r="H16" s="352">
        <f t="shared" si="1"/>
        <v>0.43989320000000004</v>
      </c>
    </row>
    <row r="17" spans="2:8" x14ac:dyDescent="0.3">
      <c r="B17" s="101">
        <f t="shared" si="0"/>
        <v>7</v>
      </c>
      <c r="C17" s="462" t="s">
        <v>230</v>
      </c>
      <c r="D17" s="352">
        <v>2.8804191189999999</v>
      </c>
      <c r="E17" s="352">
        <v>2.9041326440000002</v>
      </c>
      <c r="F17" s="352">
        <v>1.0494698730270784</v>
      </c>
      <c r="G17" s="352">
        <v>1.0506698730270783</v>
      </c>
      <c r="H17" s="352">
        <f t="shared" si="1"/>
        <v>2.1001397460541567</v>
      </c>
    </row>
    <row r="18" spans="2:8" x14ac:dyDescent="0.3">
      <c r="B18" s="101">
        <f t="shared" si="0"/>
        <v>8</v>
      </c>
      <c r="C18" s="462" t="s">
        <v>231</v>
      </c>
      <c r="D18" s="352"/>
      <c r="E18" s="352"/>
      <c r="F18" s="352"/>
      <c r="G18" s="352"/>
      <c r="H18" s="352">
        <f t="shared" si="1"/>
        <v>0</v>
      </c>
    </row>
    <row r="19" spans="2:8" x14ac:dyDescent="0.3">
      <c r="B19" s="101">
        <f t="shared" si="0"/>
        <v>9</v>
      </c>
      <c r="C19" s="463" t="s">
        <v>232</v>
      </c>
      <c r="D19" s="352"/>
      <c r="E19" s="352"/>
      <c r="F19" s="352"/>
      <c r="G19" s="352"/>
      <c r="H19" s="352">
        <f t="shared" si="1"/>
        <v>0</v>
      </c>
    </row>
    <row r="20" spans="2:8" x14ac:dyDescent="0.3">
      <c r="B20" s="101">
        <f t="shared" si="0"/>
        <v>10</v>
      </c>
      <c r="C20" s="462" t="s">
        <v>233</v>
      </c>
      <c r="D20" s="352"/>
      <c r="E20" s="352"/>
      <c r="F20" s="352"/>
      <c r="G20" s="352"/>
      <c r="H20" s="352">
        <f t="shared" si="1"/>
        <v>0</v>
      </c>
    </row>
    <row r="21" spans="2:8" x14ac:dyDescent="0.3">
      <c r="B21" s="101">
        <f t="shared" si="0"/>
        <v>11</v>
      </c>
      <c r="C21" s="462" t="s">
        <v>234</v>
      </c>
      <c r="D21" s="352"/>
      <c r="E21" s="352"/>
      <c r="F21" s="352"/>
      <c r="G21" s="352"/>
      <c r="H21" s="352">
        <f t="shared" si="1"/>
        <v>0</v>
      </c>
    </row>
    <row r="22" spans="2:8" x14ac:dyDescent="0.3">
      <c r="B22" s="101">
        <f t="shared" si="0"/>
        <v>12</v>
      </c>
      <c r="C22" s="462" t="s">
        <v>235</v>
      </c>
      <c r="D22" s="352">
        <v>7.9010999999999994E-3</v>
      </c>
      <c r="E22" s="352">
        <v>1.0185E-2</v>
      </c>
      <c r="F22" s="352">
        <v>3.0182400000000002E-3</v>
      </c>
      <c r="G22" s="352">
        <v>3.0182399999999997E-3</v>
      </c>
      <c r="H22" s="352">
        <f t="shared" si="1"/>
        <v>6.0364800000000003E-3</v>
      </c>
    </row>
    <row r="23" spans="2:8" x14ac:dyDescent="0.3">
      <c r="B23" s="101">
        <f t="shared" si="0"/>
        <v>13</v>
      </c>
      <c r="C23" s="462" t="s">
        <v>236</v>
      </c>
      <c r="D23" s="352"/>
      <c r="E23" s="352"/>
      <c r="F23" s="352"/>
      <c r="G23" s="352"/>
      <c r="H23" s="352">
        <f t="shared" si="1"/>
        <v>0</v>
      </c>
    </row>
    <row r="24" spans="2:8" x14ac:dyDescent="0.3">
      <c r="B24" s="101">
        <f t="shared" si="0"/>
        <v>14</v>
      </c>
      <c r="C24" s="462" t="s">
        <v>237</v>
      </c>
      <c r="D24" s="352">
        <v>9.1187853999999999E-2</v>
      </c>
      <c r="E24" s="352">
        <v>0.126417747</v>
      </c>
      <c r="F24" s="352">
        <v>-8.5795556722089925E-4</v>
      </c>
      <c r="G24" s="352">
        <v>2.830901432779101E-3</v>
      </c>
      <c r="H24" s="352">
        <f t="shared" si="1"/>
        <v>1.9729458655582018E-3</v>
      </c>
    </row>
    <row r="25" spans="2:8" x14ac:dyDescent="0.3">
      <c r="B25" s="101">
        <f t="shared" si="0"/>
        <v>15</v>
      </c>
      <c r="C25" s="462" t="s">
        <v>238</v>
      </c>
      <c r="D25" s="352"/>
      <c r="E25" s="352"/>
      <c r="F25" s="352"/>
      <c r="G25" s="352"/>
      <c r="H25" s="352">
        <f t="shared" si="1"/>
        <v>0</v>
      </c>
    </row>
    <row r="26" spans="2:8" x14ac:dyDescent="0.3">
      <c r="B26" s="101">
        <f t="shared" si="0"/>
        <v>16</v>
      </c>
      <c r="C26" s="462" t="s">
        <v>239</v>
      </c>
      <c r="D26" s="352"/>
      <c r="E26" s="352"/>
      <c r="F26" s="352"/>
      <c r="G26" s="352"/>
      <c r="H26" s="352">
        <f t="shared" si="1"/>
        <v>0</v>
      </c>
    </row>
    <row r="27" spans="2:8" x14ac:dyDescent="0.25">
      <c r="B27" s="101">
        <f t="shared" si="0"/>
        <v>17</v>
      </c>
      <c r="C27" s="27" t="s">
        <v>240</v>
      </c>
      <c r="D27" s="352"/>
      <c r="E27" s="352"/>
      <c r="F27" s="352"/>
      <c r="G27" s="352"/>
      <c r="H27" s="352">
        <f t="shared" si="1"/>
        <v>0</v>
      </c>
    </row>
    <row r="28" spans="2:8" x14ac:dyDescent="0.25">
      <c r="B28" s="101">
        <f t="shared" si="0"/>
        <v>18</v>
      </c>
      <c r="C28" s="27" t="s">
        <v>241</v>
      </c>
      <c r="D28" s="352">
        <v>1.2431299999999999E-2</v>
      </c>
      <c r="E28" s="352">
        <v>2.4022000000000002E-3</v>
      </c>
      <c r="F28" s="352">
        <v>0</v>
      </c>
      <c r="G28" s="352">
        <v>0</v>
      </c>
      <c r="H28" s="352">
        <f t="shared" si="1"/>
        <v>0</v>
      </c>
    </row>
    <row r="29" spans="2:8" x14ac:dyDescent="0.3">
      <c r="B29" s="101">
        <f t="shared" si="0"/>
        <v>19</v>
      </c>
      <c r="C29" s="462" t="s">
        <v>242</v>
      </c>
      <c r="D29" s="352"/>
      <c r="E29" s="352"/>
      <c r="F29" s="352"/>
      <c r="G29" s="352"/>
      <c r="H29" s="352">
        <f t="shared" si="1"/>
        <v>0</v>
      </c>
    </row>
    <row r="30" spans="2:8" x14ac:dyDescent="0.3">
      <c r="B30" s="101">
        <f t="shared" si="0"/>
        <v>20</v>
      </c>
      <c r="C30" s="462" t="s">
        <v>243</v>
      </c>
      <c r="D30" s="352"/>
      <c r="E30" s="352"/>
      <c r="F30" s="352"/>
      <c r="G30" s="352"/>
      <c r="H30" s="352">
        <f t="shared" si="1"/>
        <v>0</v>
      </c>
    </row>
    <row r="31" spans="2:8" x14ac:dyDescent="0.3">
      <c r="B31" s="101">
        <f t="shared" si="0"/>
        <v>21</v>
      </c>
      <c r="C31" s="632" t="s">
        <v>1412</v>
      </c>
      <c r="D31" s="352">
        <v>0.92488726358921891</v>
      </c>
      <c r="E31" s="352">
        <v>4.5530798920000004</v>
      </c>
      <c r="F31" s="352">
        <v>1.3820730111192399</v>
      </c>
      <c r="G31" s="352">
        <v>1.3820730111192399</v>
      </c>
      <c r="H31" s="352">
        <f t="shared" si="1"/>
        <v>2.7641460222384797</v>
      </c>
    </row>
    <row r="32" spans="2:8" x14ac:dyDescent="0.3">
      <c r="B32" s="101">
        <f t="shared" si="0"/>
        <v>22</v>
      </c>
      <c r="C32" s="462" t="s">
        <v>244</v>
      </c>
      <c r="D32" s="352"/>
      <c r="E32" s="352"/>
      <c r="F32" s="352"/>
      <c r="G32" s="352"/>
      <c r="H32" s="352">
        <f t="shared" si="1"/>
        <v>0</v>
      </c>
    </row>
    <row r="33" spans="2:8" x14ac:dyDescent="0.3">
      <c r="B33" s="101">
        <f t="shared" si="0"/>
        <v>23</v>
      </c>
      <c r="C33" s="462" t="s">
        <v>245</v>
      </c>
      <c r="D33" s="352"/>
      <c r="E33" s="352"/>
      <c r="F33" s="352"/>
      <c r="G33" s="352"/>
      <c r="H33" s="352">
        <f t="shared" si="1"/>
        <v>0</v>
      </c>
    </row>
    <row r="34" spans="2:8" x14ac:dyDescent="0.3">
      <c r="B34" s="101">
        <f t="shared" si="0"/>
        <v>24</v>
      </c>
      <c r="C34" s="462" t="s">
        <v>246</v>
      </c>
      <c r="D34" s="352"/>
      <c r="E34" s="352"/>
      <c r="F34" s="352"/>
      <c r="G34" s="352"/>
      <c r="H34" s="352">
        <f t="shared" si="1"/>
        <v>0</v>
      </c>
    </row>
    <row r="35" spans="2:8" x14ac:dyDescent="0.3">
      <c r="B35" s="101">
        <f t="shared" si="0"/>
        <v>25</v>
      </c>
      <c r="C35" s="462" t="s">
        <v>247</v>
      </c>
      <c r="D35" s="352"/>
      <c r="E35" s="352"/>
      <c r="F35" s="352"/>
      <c r="G35" s="352"/>
      <c r="H35" s="352">
        <f t="shared" si="1"/>
        <v>0</v>
      </c>
    </row>
    <row r="36" spans="2:8" x14ac:dyDescent="0.3">
      <c r="B36" s="101">
        <f t="shared" si="0"/>
        <v>26</v>
      </c>
      <c r="C36" s="462" t="s">
        <v>248</v>
      </c>
      <c r="D36" s="352"/>
      <c r="E36" s="352"/>
      <c r="F36" s="352"/>
      <c r="G36" s="352"/>
      <c r="H36" s="352">
        <f t="shared" si="1"/>
        <v>0</v>
      </c>
    </row>
    <row r="37" spans="2:8" x14ac:dyDescent="0.3">
      <c r="B37" s="101">
        <f t="shared" si="0"/>
        <v>27</v>
      </c>
      <c r="C37" s="462" t="s">
        <v>249</v>
      </c>
      <c r="D37" s="352">
        <v>3.2940333239999999</v>
      </c>
      <c r="E37" s="352">
        <v>0</v>
      </c>
      <c r="F37" s="352">
        <v>8.9642132066508303E-5</v>
      </c>
      <c r="G37" s="352">
        <v>8.964213206650833E-5</v>
      </c>
      <c r="H37" s="352">
        <f t="shared" si="1"/>
        <v>1.7928426413301663E-4</v>
      </c>
    </row>
    <row r="38" spans="2:8" x14ac:dyDescent="0.3">
      <c r="B38" s="101">
        <f t="shared" si="0"/>
        <v>28</v>
      </c>
      <c r="C38" s="462" t="s">
        <v>250</v>
      </c>
      <c r="D38" s="352"/>
      <c r="E38" s="352"/>
      <c r="F38" s="352"/>
      <c r="G38" s="352"/>
      <c r="H38" s="352">
        <f t="shared" si="1"/>
        <v>0</v>
      </c>
    </row>
    <row r="39" spans="2:8" x14ac:dyDescent="0.3">
      <c r="B39" s="101">
        <f t="shared" si="0"/>
        <v>29</v>
      </c>
      <c r="C39" s="462" t="s">
        <v>208</v>
      </c>
      <c r="D39" s="352"/>
      <c r="E39" s="352"/>
      <c r="F39" s="352"/>
      <c r="G39" s="352"/>
      <c r="H39" s="352">
        <f t="shared" si="1"/>
        <v>0</v>
      </c>
    </row>
    <row r="40" spans="2:8" x14ac:dyDescent="0.3">
      <c r="B40" s="101">
        <f t="shared" si="0"/>
        <v>30</v>
      </c>
      <c r="C40" s="462" t="s">
        <v>855</v>
      </c>
      <c r="D40" s="352">
        <v>4.6834437649999998</v>
      </c>
      <c r="E40" s="352">
        <v>5.6191855209999995</v>
      </c>
      <c r="F40" s="352">
        <v>1.6615559745377675</v>
      </c>
      <c r="G40" s="352">
        <v>1.6615559745377673</v>
      </c>
      <c r="H40" s="352">
        <f t="shared" si="1"/>
        <v>3.3231119490755345</v>
      </c>
    </row>
    <row r="41" spans="2:8" x14ac:dyDescent="0.3">
      <c r="B41" s="101">
        <f t="shared" si="0"/>
        <v>31</v>
      </c>
      <c r="C41" s="462" t="s">
        <v>856</v>
      </c>
      <c r="D41" s="352"/>
      <c r="E41" s="352"/>
      <c r="F41" s="352"/>
      <c r="G41" s="352"/>
      <c r="H41" s="352">
        <f t="shared" si="1"/>
        <v>0</v>
      </c>
    </row>
    <row r="42" spans="2:8" x14ac:dyDescent="0.3">
      <c r="B42" s="101">
        <f t="shared" si="0"/>
        <v>32</v>
      </c>
      <c r="C42" s="464" t="s">
        <v>857</v>
      </c>
      <c r="D42" s="352">
        <v>9.9998942459933501E-10</v>
      </c>
      <c r="E42" s="352">
        <v>9.9998942459933501E-10</v>
      </c>
      <c r="F42" s="352">
        <v>0</v>
      </c>
      <c r="G42" s="352">
        <v>0</v>
      </c>
      <c r="H42" s="352">
        <f t="shared" si="1"/>
        <v>0</v>
      </c>
    </row>
    <row r="43" spans="2:8" x14ac:dyDescent="0.25">
      <c r="B43" s="101">
        <f t="shared" si="0"/>
        <v>33</v>
      </c>
      <c r="C43" s="465" t="s">
        <v>850</v>
      </c>
      <c r="D43" s="352"/>
      <c r="E43" s="352"/>
      <c r="F43" s="352"/>
      <c r="G43" s="352"/>
      <c r="H43" s="352">
        <f t="shared" si="1"/>
        <v>0</v>
      </c>
    </row>
    <row r="44" spans="2:8" x14ac:dyDescent="0.3">
      <c r="B44" s="101">
        <v>29</v>
      </c>
      <c r="C44" s="24" t="s">
        <v>251</v>
      </c>
      <c r="D44" s="371">
        <f t="shared" ref="D44:H44" si="2">SUM(D11:D43)</f>
        <v>13.101523734589332</v>
      </c>
      <c r="E44" s="371">
        <f t="shared" si="2"/>
        <v>15.407629327270318</v>
      </c>
      <c r="F44" s="371">
        <f t="shared" si="2"/>
        <v>5.544130566311571</v>
      </c>
      <c r="G44" s="371">
        <f t="shared" si="2"/>
        <v>5.471755592168714</v>
      </c>
      <c r="H44" s="371">
        <f t="shared" si="2"/>
        <v>11.015886158480285</v>
      </c>
    </row>
    <row r="45" spans="2:8" x14ac:dyDescent="0.3">
      <c r="B45" s="101">
        <v>30</v>
      </c>
      <c r="C45" s="9" t="s">
        <v>35</v>
      </c>
      <c r="D45" s="352"/>
      <c r="E45" s="352"/>
      <c r="F45" s="352"/>
      <c r="G45" s="352"/>
      <c r="H45" s="352"/>
    </row>
    <row r="46" spans="2:8" x14ac:dyDescent="0.25">
      <c r="B46" s="101">
        <v>31</v>
      </c>
      <c r="C46" s="26" t="s">
        <v>252</v>
      </c>
      <c r="D46" s="352">
        <f t="shared" ref="D46:H46" si="3">D44-D45</f>
        <v>13.101523734589332</v>
      </c>
      <c r="E46" s="352">
        <f t="shared" si="3"/>
        <v>15.407629327270318</v>
      </c>
      <c r="F46" s="352">
        <f t="shared" si="3"/>
        <v>5.544130566311571</v>
      </c>
      <c r="G46" s="352">
        <f t="shared" si="3"/>
        <v>5.471755592168714</v>
      </c>
      <c r="H46" s="352">
        <f t="shared" si="3"/>
        <v>11.015886158480285</v>
      </c>
    </row>
  </sheetData>
  <mergeCells count="6">
    <mergeCell ref="B2:K2"/>
    <mergeCell ref="B3:K3"/>
    <mergeCell ref="B4:K4"/>
    <mergeCell ref="B7:B9"/>
    <mergeCell ref="C7:C9"/>
    <mergeCell ref="F7:H7"/>
  </mergeCells>
  <pageMargins left="0.75" right="0.75" top="1" bottom="1" header="0.5" footer="0.5"/>
  <pageSetup paperSize="9" scale="5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5"/>
  <sheetViews>
    <sheetView showGridLines="0" view="pageBreakPreview" zoomScale="80" zoomScaleNormal="80" zoomScaleSheetLayoutView="80" workbookViewId="0">
      <selection activeCell="I21" sqref="I21:M21"/>
    </sheetView>
  </sheetViews>
  <sheetFormatPr defaultColWidth="9.36328125" defaultRowHeight="14" x14ac:dyDescent="0.25"/>
  <cols>
    <col min="1" max="1" width="6.6328125" style="13" customWidth="1"/>
    <col min="2" max="2" width="8.6328125" style="100" customWidth="1"/>
    <col min="3" max="3" width="45.6328125" style="13" customWidth="1"/>
    <col min="4" max="11" width="15.6328125" style="13" customWidth="1"/>
    <col min="12" max="12" width="9.36328125" style="13"/>
    <col min="13" max="13" width="13.08984375" style="13" customWidth="1"/>
    <col min="14" max="16384" width="9.36328125" style="13"/>
  </cols>
  <sheetData>
    <row r="2" spans="2:13" x14ac:dyDescent="0.25">
      <c r="B2" s="1468" t="str">
        <f>Index!B2</f>
        <v xml:space="preserve">      Maharashtra State Power Generation Company Ltd.</v>
      </c>
      <c r="C2" s="1469"/>
      <c r="D2" s="1469"/>
      <c r="E2" s="1469"/>
      <c r="F2" s="1469"/>
      <c r="G2" s="1469"/>
      <c r="H2" s="1469"/>
      <c r="I2" s="1469"/>
      <c r="J2" s="1469"/>
      <c r="K2" s="1469"/>
    </row>
    <row r="3" spans="2:13" s="5" customFormat="1" x14ac:dyDescent="0.3">
      <c r="B3" s="1468" t="str">
        <f>Index!B3</f>
        <v>MYT Petition Formats for SHP Hydro</v>
      </c>
      <c r="C3" s="1469"/>
      <c r="D3" s="1469"/>
      <c r="E3" s="1469"/>
      <c r="F3" s="1469"/>
      <c r="G3" s="1469"/>
      <c r="H3" s="1469"/>
      <c r="I3" s="1469"/>
      <c r="J3" s="1469"/>
      <c r="K3" s="1469"/>
    </row>
    <row r="4" spans="2:13" s="5" customFormat="1" x14ac:dyDescent="0.3">
      <c r="B4" s="1470" t="s">
        <v>253</v>
      </c>
      <c r="C4" s="1469"/>
      <c r="D4" s="1469"/>
      <c r="E4" s="1469"/>
      <c r="F4" s="1469"/>
      <c r="G4" s="1469"/>
      <c r="H4" s="1469"/>
      <c r="I4" s="1469"/>
      <c r="J4" s="1469"/>
      <c r="K4" s="1469"/>
    </row>
    <row r="6" spans="2:13" x14ac:dyDescent="0.25">
      <c r="I6" s="21"/>
      <c r="K6" s="21" t="s">
        <v>10</v>
      </c>
    </row>
    <row r="7" spans="2:13" ht="12.75" customHeight="1" x14ac:dyDescent="0.25">
      <c r="B7" s="1476" t="s">
        <v>343</v>
      </c>
      <c r="C7" s="1474" t="s">
        <v>37</v>
      </c>
      <c r="D7" s="589" t="s">
        <v>519</v>
      </c>
      <c r="E7" s="589" t="s">
        <v>520</v>
      </c>
      <c r="F7" s="1476" t="s">
        <v>521</v>
      </c>
      <c r="G7" s="1476"/>
      <c r="H7" s="1476"/>
      <c r="I7" s="589" t="s">
        <v>940</v>
      </c>
      <c r="J7" s="589" t="s">
        <v>941</v>
      </c>
      <c r="K7" s="589" t="s">
        <v>945</v>
      </c>
      <c r="L7" s="589" t="s">
        <v>942</v>
      </c>
      <c r="M7" s="589" t="s">
        <v>944</v>
      </c>
    </row>
    <row r="8" spans="2:13" ht="56" x14ac:dyDescent="0.25">
      <c r="B8" s="1476"/>
      <c r="C8" s="1474"/>
      <c r="D8" s="589" t="s">
        <v>79</v>
      </c>
      <c r="E8" s="589" t="s">
        <v>79</v>
      </c>
      <c r="F8" s="589" t="s">
        <v>450</v>
      </c>
      <c r="G8" s="589" t="s">
        <v>455</v>
      </c>
      <c r="H8" s="589" t="s">
        <v>80</v>
      </c>
      <c r="I8" s="589" t="s">
        <v>835</v>
      </c>
      <c r="J8" s="589" t="s">
        <v>835</v>
      </c>
      <c r="K8" s="589" t="s">
        <v>835</v>
      </c>
      <c r="L8" s="589" t="s">
        <v>835</v>
      </c>
      <c r="M8" s="589" t="s">
        <v>835</v>
      </c>
    </row>
    <row r="9" spans="2:13" x14ac:dyDescent="0.25">
      <c r="B9" s="1476"/>
      <c r="C9" s="1474"/>
      <c r="D9" s="589" t="s">
        <v>81</v>
      </c>
      <c r="E9" s="589" t="s">
        <v>950</v>
      </c>
      <c r="F9" s="589" t="s">
        <v>472</v>
      </c>
      <c r="G9" s="589" t="s">
        <v>397</v>
      </c>
      <c r="H9" s="589" t="s">
        <v>951</v>
      </c>
      <c r="I9" s="589" t="s">
        <v>952</v>
      </c>
      <c r="J9" s="589" t="s">
        <v>834</v>
      </c>
      <c r="K9" s="589" t="s">
        <v>836</v>
      </c>
      <c r="L9" s="589" t="s">
        <v>953</v>
      </c>
      <c r="M9" s="589" t="s">
        <v>954</v>
      </c>
    </row>
    <row r="10" spans="2:13" x14ac:dyDescent="0.3">
      <c r="B10" s="101">
        <v>1</v>
      </c>
      <c r="C10" s="462" t="s">
        <v>254</v>
      </c>
      <c r="D10" s="352">
        <v>25.389278039000001</v>
      </c>
      <c r="E10" s="352">
        <v>40.747285098999996</v>
      </c>
      <c r="F10" s="352">
        <v>16.734798128237532</v>
      </c>
      <c r="G10" s="352">
        <v>16.734798128237529</v>
      </c>
      <c r="H10" s="365">
        <f>F10+G10</f>
        <v>33.469596256475057</v>
      </c>
      <c r="I10" s="352"/>
      <c r="J10" s="352"/>
      <c r="K10" s="352"/>
      <c r="L10" s="352"/>
      <c r="M10" s="352"/>
    </row>
    <row r="11" spans="2:13" x14ac:dyDescent="0.3">
      <c r="B11" s="101">
        <v>2</v>
      </c>
      <c r="C11" s="462" t="s">
        <v>858</v>
      </c>
      <c r="D11" s="352">
        <v>0</v>
      </c>
      <c r="E11" s="352">
        <v>0</v>
      </c>
      <c r="F11" s="352">
        <v>0</v>
      </c>
      <c r="G11" s="352">
        <v>0</v>
      </c>
      <c r="H11" s="365">
        <f t="shared" ref="H11:H17" si="0">F11+G11</f>
        <v>0</v>
      </c>
      <c r="I11" s="352"/>
      <c r="J11" s="352"/>
      <c r="K11" s="352"/>
      <c r="L11" s="352"/>
      <c r="M11" s="352"/>
    </row>
    <row r="12" spans="2:13" x14ac:dyDescent="0.3">
      <c r="B12" s="101">
        <v>3</v>
      </c>
      <c r="C12" s="462" t="s">
        <v>859</v>
      </c>
      <c r="D12" s="352">
        <v>0</v>
      </c>
      <c r="E12" s="352">
        <v>0</v>
      </c>
      <c r="F12" s="352">
        <v>0</v>
      </c>
      <c r="G12" s="352">
        <v>0</v>
      </c>
      <c r="H12" s="365">
        <f t="shared" si="0"/>
        <v>0</v>
      </c>
      <c r="I12" s="352"/>
      <c r="J12" s="352"/>
      <c r="K12" s="352"/>
      <c r="L12" s="352"/>
      <c r="M12" s="352"/>
    </row>
    <row r="13" spans="2:13" x14ac:dyDescent="0.3">
      <c r="B13" s="101">
        <v>4</v>
      </c>
      <c r="C13" s="462" t="s">
        <v>256</v>
      </c>
      <c r="D13" s="352"/>
      <c r="E13" s="352"/>
      <c r="F13" s="352"/>
      <c r="G13" s="352"/>
      <c r="H13" s="365">
        <f t="shared" si="0"/>
        <v>0</v>
      </c>
      <c r="I13" s="352"/>
      <c r="J13" s="352"/>
      <c r="K13" s="352"/>
      <c r="L13" s="352"/>
      <c r="M13" s="352"/>
    </row>
    <row r="14" spans="2:13" x14ac:dyDescent="0.3">
      <c r="B14" s="101">
        <v>5</v>
      </c>
      <c r="C14" s="462" t="s">
        <v>257</v>
      </c>
      <c r="D14" s="352">
        <v>0</v>
      </c>
      <c r="E14" s="352">
        <v>4.3880412000000001E-2</v>
      </c>
      <c r="F14" s="352">
        <v>0</v>
      </c>
      <c r="G14" s="352">
        <v>0</v>
      </c>
      <c r="H14" s="365">
        <f t="shared" si="0"/>
        <v>0</v>
      </c>
      <c r="I14" s="352"/>
      <c r="J14" s="352"/>
      <c r="K14" s="352"/>
      <c r="L14" s="352"/>
      <c r="M14" s="352"/>
    </row>
    <row r="15" spans="2:13" x14ac:dyDescent="0.3">
      <c r="B15" s="101">
        <v>6</v>
      </c>
      <c r="C15" s="462" t="s">
        <v>258</v>
      </c>
      <c r="D15" s="352"/>
      <c r="E15" s="352"/>
      <c r="F15" s="352"/>
      <c r="G15" s="352"/>
      <c r="H15" s="365">
        <f t="shared" si="0"/>
        <v>0</v>
      </c>
      <c r="I15" s="352"/>
      <c r="J15" s="352"/>
      <c r="K15" s="352"/>
      <c r="L15" s="352"/>
      <c r="M15" s="352"/>
    </row>
    <row r="16" spans="2:13" x14ac:dyDescent="0.3">
      <c r="B16" s="101">
        <v>7</v>
      </c>
      <c r="C16" s="462" t="s">
        <v>259</v>
      </c>
      <c r="D16" s="352"/>
      <c r="E16" s="352"/>
      <c r="F16" s="352"/>
      <c r="G16" s="352"/>
      <c r="H16" s="365">
        <f t="shared" si="0"/>
        <v>0</v>
      </c>
      <c r="I16" s="352"/>
      <c r="J16" s="352"/>
      <c r="K16" s="352"/>
      <c r="L16" s="352"/>
      <c r="M16" s="352"/>
    </row>
    <row r="17" spans="2:13" x14ac:dyDescent="0.3">
      <c r="B17" s="101">
        <v>8</v>
      </c>
      <c r="C17" s="462" t="s">
        <v>260</v>
      </c>
      <c r="D17" s="352"/>
      <c r="E17" s="352"/>
      <c r="F17" s="352"/>
      <c r="G17" s="352"/>
      <c r="H17" s="365">
        <f t="shared" si="0"/>
        <v>0</v>
      </c>
      <c r="I17" s="352"/>
      <c r="J17" s="352"/>
      <c r="K17" s="352"/>
      <c r="L17" s="352"/>
      <c r="M17" s="352"/>
    </row>
    <row r="18" spans="2:13" x14ac:dyDescent="0.3">
      <c r="B18" s="101">
        <v>9</v>
      </c>
      <c r="C18" s="632" t="s">
        <v>983</v>
      </c>
      <c r="D18" s="352">
        <v>-0.21851943600000001</v>
      </c>
      <c r="E18" s="352">
        <v>-7.1706500000000006E-2</v>
      </c>
      <c r="F18" s="352">
        <v>0</v>
      </c>
      <c r="G18" s="352">
        <v>0</v>
      </c>
      <c r="H18" s="365"/>
      <c r="I18" s="352"/>
      <c r="J18" s="352"/>
      <c r="K18" s="352"/>
      <c r="L18" s="352"/>
      <c r="M18" s="352"/>
    </row>
    <row r="19" spans="2:13" x14ac:dyDescent="0.3">
      <c r="B19" s="101">
        <v>10</v>
      </c>
      <c r="C19" s="632" t="s">
        <v>984</v>
      </c>
      <c r="D19" s="352">
        <v>-3.3615160000000002E-3</v>
      </c>
      <c r="E19" s="352">
        <v>-5.8146199999999993E-4</v>
      </c>
      <c r="F19" s="352">
        <v>0</v>
      </c>
      <c r="G19" s="352">
        <v>0</v>
      </c>
      <c r="H19" s="365"/>
      <c r="I19" s="352"/>
      <c r="J19" s="352"/>
      <c r="K19" s="352"/>
      <c r="L19" s="352"/>
      <c r="M19" s="352"/>
    </row>
    <row r="20" spans="2:13" ht="14.5" x14ac:dyDescent="0.35">
      <c r="B20" s="101">
        <v>11</v>
      </c>
      <c r="C20" s="466" t="s">
        <v>850</v>
      </c>
      <c r="D20" s="352">
        <v>0</v>
      </c>
      <c r="E20" s="352">
        <v>0</v>
      </c>
      <c r="F20" s="352">
        <v>0</v>
      </c>
      <c r="G20" s="352">
        <v>0</v>
      </c>
      <c r="H20" s="365">
        <f>F20+G20</f>
        <v>0</v>
      </c>
      <c r="I20" s="352"/>
      <c r="J20" s="352"/>
      <c r="K20" s="352"/>
      <c r="L20" s="352"/>
      <c r="M20" s="352"/>
    </row>
    <row r="21" spans="2:13" x14ac:dyDescent="0.3">
      <c r="B21" s="101">
        <v>12</v>
      </c>
      <c r="C21" s="24" t="s">
        <v>261</v>
      </c>
      <c r="D21" s="371">
        <f>SUM(D10:D20)</f>
        <v>25.167397087000001</v>
      </c>
      <c r="E21" s="371">
        <f>SUM(E10:E20)</f>
        <v>40.718877548999998</v>
      </c>
      <c r="F21" s="371">
        <f>SUM(F10:F20)</f>
        <v>16.734798128237532</v>
      </c>
      <c r="G21" s="371">
        <f>SUM(G10:G20)</f>
        <v>16.734798128237529</v>
      </c>
      <c r="H21" s="371">
        <f>SUM(H10:H20)</f>
        <v>33.469596256475057</v>
      </c>
      <c r="I21" s="503"/>
      <c r="J21" s="503"/>
      <c r="K21" s="503"/>
      <c r="L21" s="503"/>
      <c r="M21" s="503"/>
    </row>
    <row r="22" spans="2:13" x14ac:dyDescent="0.25">
      <c r="B22" s="101"/>
      <c r="C22" s="27"/>
      <c r="D22" s="23"/>
      <c r="E22" s="23"/>
      <c r="F22" s="23"/>
      <c r="G22" s="121"/>
      <c r="H22" s="121"/>
      <c r="I22" s="23"/>
      <c r="J22" s="23"/>
      <c r="K22" s="23"/>
      <c r="L22" s="23"/>
      <c r="M22" s="23"/>
    </row>
    <row r="23" spans="2:13" x14ac:dyDescent="0.25">
      <c r="B23" s="101">
        <v>14</v>
      </c>
      <c r="C23" s="216" t="s">
        <v>262</v>
      </c>
      <c r="D23" s="352">
        <f>'F5 (T)'!D31</f>
        <v>39.68464105969786</v>
      </c>
      <c r="E23" s="352">
        <f>'F5 (T)'!I31</f>
        <v>49.086960681697853</v>
      </c>
      <c r="F23" s="352">
        <f>'F5 (T)'!N31</f>
        <v>55.987266020697852</v>
      </c>
      <c r="G23" s="365">
        <f>'F5 (T)'!N31</f>
        <v>55.987266020697852</v>
      </c>
      <c r="H23" s="365">
        <f>AVERAGE(F23:G23)</f>
        <v>55.987266020697852</v>
      </c>
      <c r="I23" s="352">
        <f>'F5 (T)'!S31</f>
        <v>103.92023832069785</v>
      </c>
      <c r="J23" s="352">
        <f>'F5 (T)'!D57</f>
        <v>147.83825498736454</v>
      </c>
      <c r="K23" s="352">
        <f>'F5 (T)'!$I$57</f>
        <v>173.12325498736453</v>
      </c>
      <c r="L23" s="352">
        <f>'F5 (T)'!N57</f>
        <v>220.09325498736453</v>
      </c>
      <c r="M23" s="352">
        <f>'F5 (T)'!S57</f>
        <v>247.82658832069788</v>
      </c>
    </row>
    <row r="24" spans="2:13" x14ac:dyDescent="0.25">
      <c r="B24" s="101">
        <v>15</v>
      </c>
      <c r="C24" s="216" t="s">
        <v>263</v>
      </c>
      <c r="D24" s="352">
        <f t="shared" ref="D24:J24" si="1">D21/D23</f>
        <v>0.63418482352254424</v>
      </c>
      <c r="E24" s="352">
        <f t="shared" si="1"/>
        <v>0.82952533592453792</v>
      </c>
      <c r="F24" s="352">
        <f t="shared" si="1"/>
        <v>0.29890364930573443</v>
      </c>
      <c r="G24" s="352">
        <f t="shared" si="1"/>
        <v>0.29890364930573438</v>
      </c>
      <c r="H24" s="352">
        <f t="shared" si="1"/>
        <v>0.59780729861146875</v>
      </c>
      <c r="I24" s="352">
        <f t="shared" si="1"/>
        <v>0</v>
      </c>
      <c r="J24" s="352">
        <f t="shared" si="1"/>
        <v>0</v>
      </c>
      <c r="K24" s="352">
        <f>K21/K23</f>
        <v>0</v>
      </c>
      <c r="L24" s="352">
        <f t="shared" ref="L24:M24" si="2">L21/L23</f>
        <v>0</v>
      </c>
      <c r="M24" s="352">
        <f t="shared" si="2"/>
        <v>0</v>
      </c>
    </row>
    <row r="25" spans="2:13" x14ac:dyDescent="0.25">
      <c r="B25" s="101"/>
      <c r="C25" s="27"/>
      <c r="D25" s="352"/>
      <c r="E25" s="352"/>
      <c r="F25" s="352"/>
      <c r="G25" s="365"/>
      <c r="H25" s="365"/>
      <c r="I25" s="370"/>
      <c r="J25" s="370"/>
    </row>
  </sheetData>
  <mergeCells count="6">
    <mergeCell ref="B2:K2"/>
    <mergeCell ref="B3:K3"/>
    <mergeCell ref="B4:K4"/>
    <mergeCell ref="B7:B9"/>
    <mergeCell ref="C7:C9"/>
    <mergeCell ref="F7:H7"/>
  </mergeCells>
  <pageMargins left="0.75" right="0.75" top="1" bottom="1" header="0.5" footer="0.5"/>
  <pageSetup paperSize="9"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7"/>
  <sheetViews>
    <sheetView showGridLines="0" view="pageBreakPreview" topLeftCell="F1" zoomScaleSheetLayoutView="100" workbookViewId="0">
      <selection activeCell="K12" sqref="K12"/>
    </sheetView>
  </sheetViews>
  <sheetFormatPr defaultColWidth="9.36328125" defaultRowHeight="14" x14ac:dyDescent="0.3"/>
  <cols>
    <col min="1" max="1" width="4.36328125" style="5" customWidth="1"/>
    <col min="2" max="2" width="6.36328125" style="5" customWidth="1"/>
    <col min="3" max="3" width="27.8164062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bestFit="1" customWidth="1"/>
    <col min="12" max="12" width="13.36328125" style="5" bestFit="1" customWidth="1"/>
    <col min="13" max="13" width="11.08984375" style="5" bestFit="1" customWidth="1"/>
    <col min="14" max="14" width="12.54296875" style="5" customWidth="1"/>
    <col min="15" max="15" width="11.6328125" style="5" bestFit="1" customWidth="1"/>
    <col min="16" max="16" width="13.6328125" style="5" bestFit="1" customWidth="1"/>
    <col min="17" max="17" width="20.36328125" style="5" bestFit="1" customWidth="1"/>
    <col min="18" max="22" width="11.6328125" style="5" bestFit="1" customWidth="1"/>
    <col min="23" max="16384" width="9.36328125" style="5"/>
  </cols>
  <sheetData>
    <row r="1" spans="1:20" x14ac:dyDescent="0.3">
      <c r="B1" s="52"/>
    </row>
    <row r="2" spans="1:20" x14ac:dyDescent="0.3">
      <c r="B2" s="1468" t="str">
        <f>Index!B2</f>
        <v xml:space="preserve">      Maharashtra State Power Generation Company Ltd.</v>
      </c>
      <c r="C2" s="1469"/>
      <c r="D2" s="1469"/>
      <c r="E2" s="1469"/>
      <c r="F2" s="1469"/>
      <c r="G2" s="1469"/>
      <c r="H2" s="1469"/>
      <c r="I2" s="1469"/>
      <c r="J2" s="1469"/>
      <c r="K2" s="1469"/>
      <c r="L2" s="1469"/>
      <c r="M2" s="1469"/>
      <c r="N2" s="1469"/>
      <c r="O2" s="1469"/>
      <c r="P2" s="1469"/>
      <c r="Q2" s="1469"/>
      <c r="R2" s="119"/>
    </row>
    <row r="3" spans="1:20" x14ac:dyDescent="0.3">
      <c r="B3" s="1468" t="str">
        <f>Index!B3</f>
        <v>MYT Petition Formats for SHP Hydro</v>
      </c>
      <c r="C3" s="1469"/>
      <c r="D3" s="1469"/>
      <c r="E3" s="1469"/>
      <c r="F3" s="1469"/>
      <c r="G3" s="1469"/>
      <c r="H3" s="1469"/>
      <c r="I3" s="1469"/>
      <c r="J3" s="1469"/>
      <c r="K3" s="1469"/>
      <c r="L3" s="1469"/>
      <c r="M3" s="1469"/>
      <c r="N3" s="1469"/>
      <c r="O3" s="1469"/>
      <c r="P3" s="1469"/>
      <c r="Q3" s="1469"/>
      <c r="R3" s="62"/>
    </row>
    <row r="4" spans="1:20" x14ac:dyDescent="0.3">
      <c r="B4" s="1470" t="s">
        <v>495</v>
      </c>
      <c r="C4" s="1469"/>
      <c r="D4" s="1469"/>
      <c r="E4" s="1469"/>
      <c r="F4" s="1469"/>
      <c r="G4" s="1469"/>
      <c r="H4" s="1469"/>
      <c r="I4" s="1469"/>
      <c r="J4" s="1469"/>
      <c r="K4" s="1469"/>
      <c r="L4" s="1469"/>
      <c r="M4" s="1469"/>
      <c r="N4" s="1469"/>
      <c r="O4" s="1469"/>
      <c r="P4" s="1469"/>
      <c r="Q4" s="1469"/>
      <c r="R4" s="1469"/>
    </row>
    <row r="5" spans="1:20" x14ac:dyDescent="0.3">
      <c r="B5" s="261"/>
      <c r="C5" s="260"/>
      <c r="D5" s="267"/>
      <c r="E5" s="267"/>
      <c r="F5" s="267"/>
      <c r="G5" s="327"/>
      <c r="H5" s="327"/>
      <c r="I5" s="327"/>
      <c r="J5" s="260"/>
      <c r="K5" s="260"/>
      <c r="L5" s="260"/>
      <c r="M5" s="260"/>
      <c r="N5" s="260"/>
      <c r="O5" s="260"/>
      <c r="P5" s="260"/>
      <c r="Q5" s="260"/>
      <c r="R5" s="260"/>
    </row>
    <row r="6" spans="1:20" x14ac:dyDescent="0.3">
      <c r="S6" s="21" t="s">
        <v>10</v>
      </c>
    </row>
    <row r="7" spans="1:20" s="13" customFormat="1" ht="15" customHeight="1" x14ac:dyDescent="0.25">
      <c r="B7" s="1590" t="s">
        <v>343</v>
      </c>
      <c r="C7" s="1599" t="s">
        <v>37</v>
      </c>
      <c r="D7" s="1478" t="s">
        <v>519</v>
      </c>
      <c r="E7" s="1479"/>
      <c r="F7" s="1480"/>
      <c r="G7" s="1478" t="s">
        <v>520</v>
      </c>
      <c r="H7" s="1479"/>
      <c r="I7" s="1480"/>
      <c r="J7" s="1478" t="s">
        <v>521</v>
      </c>
      <c r="K7" s="1479"/>
      <c r="L7" s="1479"/>
      <c r="M7" s="1479"/>
      <c r="N7" s="1480"/>
      <c r="O7" s="588" t="s">
        <v>940</v>
      </c>
      <c r="P7" s="588" t="s">
        <v>941</v>
      </c>
      <c r="Q7" s="588" t="s">
        <v>945</v>
      </c>
      <c r="R7" s="588" t="s">
        <v>942</v>
      </c>
      <c r="S7" s="588" t="s">
        <v>944</v>
      </c>
    </row>
    <row r="8" spans="1:20" s="13" customFormat="1" ht="42" x14ac:dyDescent="0.25">
      <c r="B8" s="1591"/>
      <c r="C8" s="1599"/>
      <c r="D8" s="587" t="s">
        <v>982</v>
      </c>
      <c r="E8" s="589" t="s">
        <v>79</v>
      </c>
      <c r="F8" s="589" t="s">
        <v>459</v>
      </c>
      <c r="G8" s="587" t="s">
        <v>982</v>
      </c>
      <c r="H8" s="589" t="s">
        <v>79</v>
      </c>
      <c r="I8" s="589" t="s">
        <v>459</v>
      </c>
      <c r="J8" s="589" t="s">
        <v>982</v>
      </c>
      <c r="K8" s="589" t="s">
        <v>449</v>
      </c>
      <c r="L8" s="589" t="s">
        <v>455</v>
      </c>
      <c r="M8" s="589" t="s">
        <v>80</v>
      </c>
      <c r="N8" s="589" t="s">
        <v>460</v>
      </c>
      <c r="O8" s="589" t="s">
        <v>943</v>
      </c>
      <c r="P8" s="589" t="s">
        <v>943</v>
      </c>
      <c r="Q8" s="589" t="s">
        <v>943</v>
      </c>
      <c r="R8" s="589" t="s">
        <v>943</v>
      </c>
      <c r="S8" s="589" t="s">
        <v>943</v>
      </c>
    </row>
    <row r="9" spans="1:20" s="13" customFormat="1" x14ac:dyDescent="0.25">
      <c r="B9" s="1598"/>
      <c r="C9" s="1600"/>
      <c r="D9" s="589" t="s">
        <v>81</v>
      </c>
      <c r="E9" s="589" t="s">
        <v>82</v>
      </c>
      <c r="F9" s="589" t="s">
        <v>692</v>
      </c>
      <c r="G9" s="589" t="s">
        <v>397</v>
      </c>
      <c r="H9" s="589" t="s">
        <v>414</v>
      </c>
      <c r="I9" s="589" t="s">
        <v>465</v>
      </c>
      <c r="J9" s="589" t="s">
        <v>415</v>
      </c>
      <c r="K9" s="589" t="s">
        <v>416</v>
      </c>
      <c r="L9" s="589" t="s">
        <v>603</v>
      </c>
      <c r="M9" s="589" t="s">
        <v>693</v>
      </c>
      <c r="N9" s="589" t="s">
        <v>516</v>
      </c>
      <c r="O9" s="589" t="s">
        <v>605</v>
      </c>
      <c r="P9" s="589" t="s">
        <v>606</v>
      </c>
      <c r="Q9" s="589" t="s">
        <v>607</v>
      </c>
      <c r="R9" s="589" t="s">
        <v>672</v>
      </c>
      <c r="S9" s="589" t="s">
        <v>608</v>
      </c>
    </row>
    <row r="10" spans="1:20" s="91" customFormat="1" x14ac:dyDescent="0.25">
      <c r="B10" s="208">
        <v>1</v>
      </c>
      <c r="C10" s="170" t="s">
        <v>22</v>
      </c>
      <c r="D10" s="478"/>
      <c r="E10" s="478">
        <f>'F4.2 SHPC Pune'!$U$58+'F4.2 SHPC Nashik'!$U$103</f>
        <v>21.77364515</v>
      </c>
      <c r="F10" s="478"/>
      <c r="G10" s="479"/>
      <c r="H10" s="478">
        <f>'F4.2 SHPC Pune'!$V$58+'F4.2 SHPC Nashik'!$V$103</f>
        <v>7.3683498800000002</v>
      </c>
      <c r="I10" s="480"/>
      <c r="J10" s="480"/>
      <c r="K10" s="478"/>
      <c r="L10" s="478"/>
      <c r="M10" s="478">
        <f>'F4.2 SHPC Pune'!$W$58+'F4.2 SHPC Nashik'!$W$103</f>
        <v>47.934850000000004</v>
      </c>
      <c r="N10" s="367"/>
      <c r="O10" s="478">
        <f>'F4.2 SHPC Pune'!X$58+'F4.2 SHPC Nashik'!X$103</f>
        <v>131.75024999999999</v>
      </c>
      <c r="P10" s="478">
        <f>'F4.2 SHPC Pune'!Y$58+'F4.2 SHPC Nashik'!Y$103</f>
        <v>101.14</v>
      </c>
      <c r="Q10" s="478">
        <f>'F4.2 SHPC Pune'!Z$58+'F4.2 SHPC Nashik'!Z$103</f>
        <v>93.94</v>
      </c>
      <c r="R10" s="478">
        <f>'F4.2 SHPC Pune'!AA$58+'F4.2 SHPC Nashik'!AA$103</f>
        <v>0</v>
      </c>
      <c r="S10" s="478">
        <f>'F4.2 SHPC Pune'!AB$58+'F4.2 SHPC Nashik'!AB$103</f>
        <v>35</v>
      </c>
      <c r="T10" s="368"/>
    </row>
    <row r="11" spans="1:20" s="91" customFormat="1" x14ac:dyDescent="0.25">
      <c r="B11" s="208"/>
      <c r="C11" s="170"/>
      <c r="D11" s="352"/>
      <c r="E11" s="352"/>
      <c r="F11" s="352"/>
      <c r="G11" s="366"/>
      <c r="H11" s="365"/>
      <c r="I11" s="365"/>
      <c r="J11" s="365"/>
      <c r="K11" s="367"/>
      <c r="L11" s="367"/>
      <c r="M11" s="367"/>
      <c r="N11" s="367"/>
      <c r="O11" s="367"/>
      <c r="P11" s="367"/>
      <c r="Q11" s="367"/>
      <c r="R11" s="367"/>
      <c r="S11" s="367"/>
      <c r="T11" s="368"/>
    </row>
    <row r="12" spans="1:20" s="91" customFormat="1" x14ac:dyDescent="0.25">
      <c r="B12" s="208">
        <f>B10+1</f>
        <v>2</v>
      </c>
      <c r="C12" s="92" t="s">
        <v>18</v>
      </c>
      <c r="D12" s="369">
        <v>12.341139999999999</v>
      </c>
      <c r="E12" s="369">
        <f>'F5'!E31</f>
        <v>13.163182396000002</v>
      </c>
      <c r="F12" s="352">
        <f>E12-D12</f>
        <v>0.82204239600000228</v>
      </c>
      <c r="G12" s="352">
        <v>26.520000000000003</v>
      </c>
      <c r="H12" s="369">
        <f>'F5'!J31</f>
        <v>7.5012711300000001</v>
      </c>
      <c r="I12" s="365">
        <f t="shared" ref="I12:I13" si="0">H12-G12</f>
        <v>-19.018728870000004</v>
      </c>
      <c r="J12" s="365">
        <v>17.759999999999998</v>
      </c>
      <c r="K12" s="508">
        <v>0</v>
      </c>
      <c r="L12" s="508">
        <v>47.93</v>
      </c>
      <c r="M12" s="1458">
        <f>'F5'!$O$31</f>
        <v>47.932972300000003</v>
      </c>
      <c r="N12" s="1458">
        <f t="shared" ref="N12:N13" si="1">M12-J12</f>
        <v>30.172972300000005</v>
      </c>
      <c r="O12" s="369">
        <f>'F5 (T)'!T31</f>
        <v>43.918016666666666</v>
      </c>
      <c r="P12" s="369">
        <f>'F5 (T)'!E57</f>
        <v>25.284999999999997</v>
      </c>
      <c r="Q12" s="369">
        <f>'F5 (T)'!J57</f>
        <v>46.97</v>
      </c>
      <c r="R12" s="369">
        <f>'F5 (T)'!O57</f>
        <v>27.733333333333331</v>
      </c>
      <c r="S12" s="369">
        <f>'F5 (T)'!T57</f>
        <v>35</v>
      </c>
      <c r="T12" s="368"/>
    </row>
    <row r="13" spans="1:20" s="91" customFormat="1" x14ac:dyDescent="0.25">
      <c r="B13" s="208">
        <f t="shared" ref="B13:B14" si="2">B12+1</f>
        <v>3</v>
      </c>
      <c r="C13" s="92" t="s">
        <v>419</v>
      </c>
      <c r="D13" s="369"/>
      <c r="E13" s="369"/>
      <c r="F13" s="352">
        <f>E13-D13</f>
        <v>0</v>
      </c>
      <c r="G13" s="352"/>
      <c r="H13" s="369"/>
      <c r="I13" s="365">
        <f t="shared" si="0"/>
        <v>0</v>
      </c>
      <c r="J13" s="365"/>
      <c r="K13" s="369"/>
      <c r="L13" s="369"/>
      <c r="M13" s="1458">
        <f t="shared" ref="M13" si="3">K13+L13</f>
        <v>0</v>
      </c>
      <c r="N13" s="1458">
        <f t="shared" si="1"/>
        <v>0</v>
      </c>
      <c r="O13" s="369"/>
      <c r="P13" s="369"/>
      <c r="Q13" s="369"/>
      <c r="R13" s="369"/>
      <c r="S13" s="369"/>
      <c r="T13" s="368"/>
    </row>
    <row r="14" spans="1:20" s="93" customFormat="1" x14ac:dyDescent="0.25">
      <c r="B14" s="208">
        <f t="shared" si="2"/>
        <v>4</v>
      </c>
      <c r="C14" s="92" t="s">
        <v>496</v>
      </c>
      <c r="D14" s="369">
        <f t="shared" ref="D14:S14" si="4">D12+D13</f>
        <v>12.341139999999999</v>
      </c>
      <c r="E14" s="369">
        <f t="shared" si="4"/>
        <v>13.163182396000002</v>
      </c>
      <c r="F14" s="369">
        <f t="shared" si="4"/>
        <v>0.82204239600000228</v>
      </c>
      <c r="G14" s="369">
        <f t="shared" si="4"/>
        <v>26.520000000000003</v>
      </c>
      <c r="H14" s="369">
        <f t="shared" si="4"/>
        <v>7.5012711300000001</v>
      </c>
      <c r="I14" s="369">
        <f t="shared" si="4"/>
        <v>-19.018728870000004</v>
      </c>
      <c r="J14" s="369">
        <f t="shared" si="4"/>
        <v>17.759999999999998</v>
      </c>
      <c r="K14" s="369">
        <f t="shared" si="4"/>
        <v>0</v>
      </c>
      <c r="L14" s="369">
        <f t="shared" si="4"/>
        <v>47.93</v>
      </c>
      <c r="M14" s="369">
        <f t="shared" si="4"/>
        <v>47.932972300000003</v>
      </c>
      <c r="N14" s="369">
        <f t="shared" si="4"/>
        <v>30.172972300000005</v>
      </c>
      <c r="O14" s="369">
        <f t="shared" si="4"/>
        <v>43.918016666666666</v>
      </c>
      <c r="P14" s="369">
        <f t="shared" si="4"/>
        <v>25.284999999999997</v>
      </c>
      <c r="Q14" s="369">
        <f t="shared" si="4"/>
        <v>46.97</v>
      </c>
      <c r="R14" s="369">
        <f t="shared" si="4"/>
        <v>27.733333333333331</v>
      </c>
      <c r="S14" s="369">
        <f t="shared" si="4"/>
        <v>35</v>
      </c>
      <c r="T14" s="370"/>
    </row>
    <row r="15" spans="1:20" s="549" customFormat="1" x14ac:dyDescent="0.25">
      <c r="B15" s="1111"/>
      <c r="C15" s="1112"/>
      <c r="D15" s="1112"/>
      <c r="E15" s="1113">
        <f>'F5 (T)'!E31-E14</f>
        <v>0</v>
      </c>
      <c r="F15" s="1112"/>
      <c r="G15" s="1112"/>
      <c r="H15" s="1113">
        <f>'F5 (T)'!J31-H14</f>
        <v>0</v>
      </c>
      <c r="I15" s="1112"/>
      <c r="J15" s="1114"/>
      <c r="K15" s="1114"/>
      <c r="L15" s="1114"/>
      <c r="M15" s="1115">
        <f>'F5 (T)'!O31-M14</f>
        <v>0</v>
      </c>
      <c r="N15" s="1114"/>
      <c r="O15" s="1115">
        <f>'F5 (T)'!$T$31-O14</f>
        <v>0</v>
      </c>
      <c r="P15" s="1116">
        <f>'F5 (T)'!$E$57-P14</f>
        <v>0</v>
      </c>
      <c r="Q15" s="1116">
        <f>'F5 (T)'!$J$57-Q14</f>
        <v>0</v>
      </c>
      <c r="R15" s="1116">
        <f>'F5 (T)'!$O$57-R14</f>
        <v>0</v>
      </c>
      <c r="S15" s="1116">
        <f>'F5 (T)'!$T$57-S14</f>
        <v>0</v>
      </c>
    </row>
    <row r="16" spans="1:20" s="1" customFormat="1" x14ac:dyDescent="0.3">
      <c r="A16" s="5"/>
      <c r="B16" s="13" t="s">
        <v>1455</v>
      </c>
      <c r="N16" s="5"/>
      <c r="O16" s="5"/>
      <c r="P16" s="5"/>
      <c r="Q16" s="5"/>
      <c r="R16" s="5"/>
    </row>
    <row r="17" spans="1:18" s="1" customFormat="1" x14ac:dyDescent="0.3">
      <c r="A17" s="5"/>
      <c r="B17" s="13"/>
      <c r="C17" s="1" t="s">
        <v>651</v>
      </c>
      <c r="N17" s="5"/>
      <c r="O17" s="5"/>
      <c r="P17" s="5"/>
      <c r="Q17" s="5"/>
      <c r="R17" s="5"/>
    </row>
  </sheetData>
  <mergeCells count="8">
    <mergeCell ref="B2:Q2"/>
    <mergeCell ref="B3:Q3"/>
    <mergeCell ref="B4:R4"/>
    <mergeCell ref="B7:B9"/>
    <mergeCell ref="C7:C9"/>
    <mergeCell ref="G7:I7"/>
    <mergeCell ref="J7:N7"/>
    <mergeCell ref="D7:F7"/>
  </mergeCells>
  <pageMargins left="1.02" right="0.25" top="1" bottom="1" header="0.25" footer="0.25"/>
  <pageSetup paperSize="9" scale="54" orientation="landscape" r:id="rId1"/>
  <headerFooter alignWithMargins="0">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2"/>
  <sheetViews>
    <sheetView view="pageBreakPreview" zoomScale="90" zoomScaleNormal="70" zoomScaleSheetLayoutView="90" workbookViewId="0">
      <pane xSplit="2" ySplit="6" topLeftCell="C14" activePane="bottomRight" state="frozen"/>
      <selection activeCell="N10" sqref="N10:N32"/>
      <selection pane="topRight" activeCell="N10" sqref="N10:N32"/>
      <selection pane="bottomLeft" activeCell="N10" sqref="N10:N32"/>
      <selection pane="bottomRight" activeCell="H17" sqref="A1:XFD1048576"/>
    </sheetView>
  </sheetViews>
  <sheetFormatPr defaultColWidth="9.1796875" defaultRowHeight="14.5" x14ac:dyDescent="0.35"/>
  <cols>
    <col min="1" max="1" width="7.26953125" style="1282" customWidth="1"/>
    <col min="2" max="2" width="42" style="1283" customWidth="1"/>
    <col min="3" max="3" width="9.54296875" style="1283" customWidth="1"/>
    <col min="4" max="4" width="27.7265625" style="1311" customWidth="1"/>
    <col min="5" max="5" width="11.54296875" style="1284" customWidth="1"/>
    <col min="6" max="6" width="34.54296875" style="1285" customWidth="1"/>
    <col min="7" max="7" width="9.7265625" style="1286" bestFit="1" customWidth="1"/>
    <col min="8" max="12" width="8.7265625" style="1286" customWidth="1"/>
    <col min="13" max="13" width="9.453125" style="1285" bestFit="1" customWidth="1"/>
    <col min="14" max="14" width="9.7265625" style="1285" customWidth="1"/>
    <col min="15" max="15" width="10" style="1285" customWidth="1"/>
    <col min="16" max="16" width="8.7265625" style="1285" customWidth="1"/>
    <col min="17" max="17" width="6.54296875" style="1285" bestFit="1" customWidth="1"/>
    <col min="18" max="18" width="9.7265625" style="1285" bestFit="1" customWidth="1"/>
    <col min="19" max="19" width="10.26953125" style="1283" customWidth="1"/>
    <col min="20" max="20" width="12.7265625" style="1285" customWidth="1"/>
    <col min="21" max="21" width="14" style="1285" customWidth="1"/>
    <col min="22" max="24" width="12.7265625" style="1285" customWidth="1"/>
    <col min="25" max="25" width="15.26953125" style="1285" customWidth="1"/>
    <col min="26" max="26" width="12.54296875" style="1285" customWidth="1"/>
    <col min="27" max="27" width="13.453125" style="1285" customWidth="1"/>
    <col min="28" max="28" width="13.54296875" style="1285" customWidth="1"/>
    <col min="29" max="16384" width="9.1796875" style="1285"/>
  </cols>
  <sheetData>
    <row r="1" spans="1:28" x14ac:dyDescent="0.35">
      <c r="D1" s="524" t="s">
        <v>1671</v>
      </c>
    </row>
    <row r="2" spans="1:28" x14ac:dyDescent="0.35">
      <c r="D2" s="1287" t="s">
        <v>1653</v>
      </c>
    </row>
    <row r="3" spans="1:28" x14ac:dyDescent="0.35">
      <c r="B3" s="1288" t="s">
        <v>0</v>
      </c>
      <c r="D3" s="1289" t="s">
        <v>515</v>
      </c>
      <c r="F3" s="1290"/>
      <c r="G3" s="1291"/>
      <c r="H3" s="1291"/>
      <c r="I3" s="1291"/>
      <c r="J3" s="1291"/>
      <c r="K3" s="1291"/>
      <c r="L3" s="1291"/>
      <c r="M3" s="1290"/>
      <c r="N3" s="1290"/>
      <c r="O3" s="1290"/>
      <c r="P3" s="1290"/>
      <c r="Q3" s="1290"/>
      <c r="R3" s="1290"/>
      <c r="S3" s="1292" t="s">
        <v>10</v>
      </c>
      <c r="T3" s="1290"/>
      <c r="U3" s="1290"/>
      <c r="V3" s="1290"/>
      <c r="W3" s="1290"/>
      <c r="X3" s="1290"/>
      <c r="Y3" s="1290"/>
      <c r="Z3" s="1290"/>
      <c r="AA3" s="1290"/>
      <c r="AB3" s="1290"/>
    </row>
    <row r="4" spans="1:28" s="535" customFormat="1" x14ac:dyDescent="0.25">
      <c r="A4" s="1602" t="s">
        <v>343</v>
      </c>
      <c r="B4" s="1603" t="s">
        <v>16</v>
      </c>
      <c r="C4" s="1603" t="s">
        <v>1</v>
      </c>
      <c r="D4" s="1603" t="s">
        <v>503</v>
      </c>
      <c r="E4" s="1604" t="s">
        <v>504</v>
      </c>
      <c r="F4" s="1601" t="s">
        <v>4</v>
      </c>
      <c r="G4" s="1609" t="s">
        <v>2</v>
      </c>
      <c r="H4" s="1610"/>
      <c r="I4" s="1611"/>
      <c r="J4" s="1609" t="s">
        <v>8</v>
      </c>
      <c r="K4" s="1610"/>
      <c r="L4" s="1611"/>
      <c r="M4" s="1601" t="s">
        <v>505</v>
      </c>
      <c r="N4" s="1601"/>
      <c r="O4" s="1601"/>
      <c r="P4" s="1601"/>
      <c r="Q4" s="1601"/>
      <c r="R4" s="1601"/>
      <c r="S4" s="1601"/>
    </row>
    <row r="5" spans="1:28" s="535" customFormat="1" x14ac:dyDescent="0.25">
      <c r="A5" s="1602"/>
      <c r="B5" s="1603"/>
      <c r="C5" s="1603"/>
      <c r="D5" s="1603"/>
      <c r="E5" s="1604"/>
      <c r="F5" s="1601"/>
      <c r="G5" s="1605" t="s">
        <v>11</v>
      </c>
      <c r="H5" s="1605" t="s">
        <v>9</v>
      </c>
      <c r="I5" s="1605" t="s">
        <v>506</v>
      </c>
      <c r="J5" s="1605" t="s">
        <v>11</v>
      </c>
      <c r="K5" s="1605" t="s">
        <v>9</v>
      </c>
      <c r="L5" s="1605" t="s">
        <v>7</v>
      </c>
      <c r="M5" s="1607" t="s">
        <v>25</v>
      </c>
      <c r="N5" s="1601" t="s">
        <v>507</v>
      </c>
      <c r="O5" s="1608" t="s">
        <v>685</v>
      </c>
      <c r="P5" s="1608"/>
      <c r="Q5" s="1608"/>
      <c r="R5" s="1608"/>
      <c r="S5" s="1608"/>
    </row>
    <row r="6" spans="1:28" ht="43.5" x14ac:dyDescent="0.35">
      <c r="A6" s="1602"/>
      <c r="B6" s="1603"/>
      <c r="C6" s="1603"/>
      <c r="D6" s="1603"/>
      <c r="E6" s="1604"/>
      <c r="F6" s="1601"/>
      <c r="G6" s="1606"/>
      <c r="H6" s="1606"/>
      <c r="I6" s="1606"/>
      <c r="J6" s="1606"/>
      <c r="K6" s="1606"/>
      <c r="L6" s="1606"/>
      <c r="M6" s="1607"/>
      <c r="N6" s="1601"/>
      <c r="O6" s="525" t="s">
        <v>690</v>
      </c>
      <c r="P6" s="525" t="s">
        <v>686</v>
      </c>
      <c r="Q6" s="525" t="s">
        <v>687</v>
      </c>
      <c r="R6" s="525" t="s">
        <v>688</v>
      </c>
      <c r="S6" s="1293" t="s">
        <v>689</v>
      </c>
    </row>
    <row r="7" spans="1:28" x14ac:dyDescent="0.35">
      <c r="A7" s="1294"/>
      <c r="B7" s="1295"/>
      <c r="C7" s="1295"/>
      <c r="D7" s="1295"/>
      <c r="E7" s="1296"/>
      <c r="F7" s="968"/>
      <c r="G7" s="970"/>
      <c r="H7" s="970"/>
      <c r="I7" s="970"/>
      <c r="J7" s="970"/>
      <c r="K7" s="970"/>
      <c r="L7" s="970"/>
      <c r="M7" s="969"/>
      <c r="N7" s="968"/>
      <c r="O7" s="968"/>
      <c r="P7" s="968"/>
      <c r="Q7" s="968"/>
      <c r="R7" s="968"/>
      <c r="S7" s="1295"/>
    </row>
    <row r="8" spans="1:28" x14ac:dyDescent="0.35">
      <c r="A8" s="1297"/>
      <c r="B8" s="967" t="s">
        <v>910</v>
      </c>
      <c r="C8" s="1298"/>
      <c r="D8" s="1299"/>
      <c r="E8" s="1300"/>
      <c r="F8" s="1298"/>
      <c r="G8" s="1300"/>
      <c r="H8" s="1300"/>
      <c r="I8" s="1300"/>
      <c r="J8" s="1300"/>
      <c r="K8" s="1300"/>
      <c r="L8" s="1300"/>
      <c r="M8" s="1298"/>
      <c r="N8" s="1298"/>
      <c r="O8" s="1298"/>
      <c r="P8" s="1298"/>
      <c r="Q8" s="1298"/>
      <c r="R8" s="1298"/>
      <c r="S8" s="1301"/>
    </row>
    <row r="9" spans="1:28" x14ac:dyDescent="0.35">
      <c r="A9" s="1297"/>
      <c r="B9" s="1302" t="s">
        <v>912</v>
      </c>
      <c r="C9" s="1298"/>
      <c r="D9" s="1299"/>
      <c r="E9" s="1300"/>
      <c r="F9" s="1298"/>
      <c r="G9" s="1300"/>
      <c r="H9" s="1300"/>
      <c r="I9" s="1300"/>
      <c r="J9" s="1300"/>
      <c r="K9" s="1300"/>
      <c r="L9" s="1300"/>
      <c r="M9" s="1298"/>
      <c r="N9" s="1298"/>
      <c r="O9" s="1298"/>
      <c r="P9" s="1298"/>
      <c r="Q9" s="1298"/>
      <c r="R9" s="1298"/>
      <c r="S9" s="1301"/>
    </row>
    <row r="10" spans="1:28" ht="29" x14ac:dyDescent="0.35">
      <c r="A10" s="1155">
        <v>2</v>
      </c>
      <c r="B10" s="1303" t="s">
        <v>913</v>
      </c>
      <c r="C10" s="1155" t="s">
        <v>896</v>
      </c>
      <c r="D10" s="1155" t="s">
        <v>914</v>
      </c>
      <c r="E10" s="1304">
        <v>41871</v>
      </c>
      <c r="F10" s="966"/>
      <c r="G10" s="1305">
        <f t="shared" ref="G10:G32" si="0">E10</f>
        <v>41871</v>
      </c>
      <c r="H10" s="1305"/>
      <c r="I10" s="1305" t="s">
        <v>915</v>
      </c>
      <c r="J10" s="1305" t="s">
        <v>915</v>
      </c>
      <c r="K10" s="1305"/>
      <c r="L10" s="1305" t="s">
        <v>915</v>
      </c>
      <c r="M10" s="965">
        <v>0</v>
      </c>
      <c r="N10" s="965">
        <v>0</v>
      </c>
      <c r="O10" s="966"/>
      <c r="P10" s="966"/>
      <c r="Q10" s="966"/>
      <c r="R10" s="966"/>
      <c r="S10" s="965">
        <f t="shared" ref="S10" si="1">IF(SUM(O10:R10)=0,M10-N10,-SUM(O10:R10))</f>
        <v>0</v>
      </c>
    </row>
    <row r="11" spans="1:28" ht="43.5" x14ac:dyDescent="0.35">
      <c r="A11" s="1162">
        <v>2.4</v>
      </c>
      <c r="B11" s="1307" t="s">
        <v>1502</v>
      </c>
      <c r="C11" s="1308" t="s">
        <v>898</v>
      </c>
      <c r="D11" s="1162" t="s">
        <v>914</v>
      </c>
      <c r="E11" s="1309">
        <v>41871</v>
      </c>
      <c r="F11" s="1445" t="s">
        <v>888</v>
      </c>
      <c r="G11" s="1309">
        <f t="shared" si="0"/>
        <v>41871</v>
      </c>
      <c r="H11" s="1446">
        <v>42095</v>
      </c>
      <c r="I11" s="1447">
        <v>42918</v>
      </c>
      <c r="J11" s="1446">
        <v>40940</v>
      </c>
      <c r="K11" s="1446">
        <v>42460</v>
      </c>
      <c r="L11" s="1447">
        <v>42918</v>
      </c>
      <c r="M11" s="963">
        <v>0.52</v>
      </c>
      <c r="N11" s="963">
        <v>0.30932749999999998</v>
      </c>
      <c r="O11" s="964"/>
      <c r="P11" s="1383"/>
      <c r="Q11" s="964"/>
      <c r="R11" s="964"/>
      <c r="S11" s="963">
        <f>IF(SUM(O11:R11)=0,M11-N11,SUM(O11:R11))</f>
        <v>0.21067250000000004</v>
      </c>
    </row>
    <row r="12" spans="1:28" ht="29" x14ac:dyDescent="0.35">
      <c r="A12" s="1162">
        <v>2.5</v>
      </c>
      <c r="B12" s="1307" t="s">
        <v>1501</v>
      </c>
      <c r="C12" s="1308" t="s">
        <v>898</v>
      </c>
      <c r="D12" s="1162" t="s">
        <v>914</v>
      </c>
      <c r="E12" s="1309">
        <v>41871</v>
      </c>
      <c r="F12" s="1445" t="s">
        <v>1467</v>
      </c>
      <c r="G12" s="1309">
        <f t="shared" si="0"/>
        <v>41871</v>
      </c>
      <c r="H12" s="1446">
        <v>41913</v>
      </c>
      <c r="I12" s="1446">
        <v>41913</v>
      </c>
      <c r="J12" s="1446">
        <v>42094</v>
      </c>
      <c r="K12" s="1446">
        <v>43189</v>
      </c>
      <c r="L12" s="1447">
        <v>43038</v>
      </c>
      <c r="M12" s="963">
        <v>0.7</v>
      </c>
      <c r="N12" s="963">
        <v>0.73791230399999996</v>
      </c>
      <c r="O12" s="964"/>
      <c r="P12" s="964"/>
      <c r="Q12" s="964"/>
      <c r="R12" s="964"/>
      <c r="S12" s="963">
        <f t="shared" ref="S12:S32" si="2">IF(SUM(O12:R12)=0,M12-N12,SUM(O12:R12))</f>
        <v>-3.7912304000000008E-2</v>
      </c>
    </row>
    <row r="13" spans="1:28" ht="29" x14ac:dyDescent="0.35">
      <c r="A13" s="1162">
        <v>0</v>
      </c>
      <c r="B13" s="1307" t="s">
        <v>419</v>
      </c>
      <c r="C13" s="1308" t="s">
        <v>419</v>
      </c>
      <c r="D13" s="1162" t="s">
        <v>914</v>
      </c>
      <c r="E13" s="1309">
        <v>41871</v>
      </c>
      <c r="F13" s="964"/>
      <c r="G13" s="1309">
        <f t="shared" si="0"/>
        <v>41871</v>
      </c>
      <c r="H13" s="1310"/>
      <c r="I13" s="1309" t="s">
        <v>915</v>
      </c>
      <c r="J13" s="1309" t="s">
        <v>915</v>
      </c>
      <c r="K13" s="1310"/>
      <c r="L13" s="1309" t="s">
        <v>915</v>
      </c>
      <c r="M13" s="963">
        <v>0.33119999999999999</v>
      </c>
      <c r="N13" s="963">
        <v>0</v>
      </c>
      <c r="O13" s="964"/>
      <c r="P13" s="964"/>
      <c r="Q13" s="964"/>
      <c r="R13" s="964"/>
      <c r="S13" s="963">
        <f t="shared" si="2"/>
        <v>0.33119999999999999</v>
      </c>
    </row>
    <row r="14" spans="1:28" ht="29" x14ac:dyDescent="0.35">
      <c r="A14" s="1155">
        <v>5</v>
      </c>
      <c r="B14" s="1303" t="s">
        <v>916</v>
      </c>
      <c r="C14" s="1155" t="s">
        <v>896</v>
      </c>
      <c r="D14" s="1155" t="s">
        <v>917</v>
      </c>
      <c r="E14" s="1304">
        <v>42825</v>
      </c>
      <c r="F14" s="966"/>
      <c r="G14" s="1305">
        <f t="shared" si="0"/>
        <v>42825</v>
      </c>
      <c r="H14" s="1305"/>
      <c r="I14" s="1305" t="s">
        <v>915</v>
      </c>
      <c r="J14" s="1305" t="s">
        <v>915</v>
      </c>
      <c r="K14" s="1305"/>
      <c r="L14" s="1305" t="s">
        <v>915</v>
      </c>
      <c r="M14" s="965">
        <v>0</v>
      </c>
      <c r="N14" s="965">
        <v>0</v>
      </c>
      <c r="O14" s="966"/>
      <c r="P14" s="966"/>
      <c r="Q14" s="966"/>
      <c r="R14" s="966"/>
      <c r="S14" s="965">
        <f t="shared" si="2"/>
        <v>0</v>
      </c>
    </row>
    <row r="15" spans="1:28" ht="58" x14ac:dyDescent="0.35">
      <c r="A15" s="1162">
        <v>5.0999999999999996</v>
      </c>
      <c r="B15" s="1307" t="s">
        <v>918</v>
      </c>
      <c r="C15" s="1308" t="s">
        <v>898</v>
      </c>
      <c r="D15" s="1162" t="s">
        <v>917</v>
      </c>
      <c r="E15" s="1309">
        <v>42825</v>
      </c>
      <c r="F15" s="1445" t="s">
        <v>889</v>
      </c>
      <c r="G15" s="1309">
        <f t="shared" si="0"/>
        <v>42825</v>
      </c>
      <c r="H15" s="1448">
        <v>43040</v>
      </c>
      <c r="I15" s="1449">
        <v>43101</v>
      </c>
      <c r="J15" s="1448">
        <v>43132</v>
      </c>
      <c r="K15" s="1450"/>
      <c r="L15" s="1449">
        <v>43405</v>
      </c>
      <c r="M15" s="963">
        <v>2.415</v>
      </c>
      <c r="N15" s="963">
        <v>1.2675034840000001</v>
      </c>
      <c r="O15" s="964"/>
      <c r="P15" s="964"/>
      <c r="Q15" s="964"/>
      <c r="R15" s="964"/>
      <c r="S15" s="963">
        <f t="shared" si="2"/>
        <v>1.1474965159999999</v>
      </c>
    </row>
    <row r="16" spans="1:28" ht="58" x14ac:dyDescent="0.35">
      <c r="A16" s="1162">
        <v>5.2</v>
      </c>
      <c r="B16" s="1307" t="s">
        <v>919</v>
      </c>
      <c r="C16" s="1308" t="s">
        <v>898</v>
      </c>
      <c r="D16" s="1162" t="s">
        <v>917</v>
      </c>
      <c r="E16" s="1309">
        <v>42825</v>
      </c>
      <c r="F16" s="1445" t="s">
        <v>890</v>
      </c>
      <c r="G16" s="1309">
        <f t="shared" si="0"/>
        <v>42825</v>
      </c>
      <c r="H16" s="1448">
        <v>43040</v>
      </c>
      <c r="I16" s="1449">
        <v>43101</v>
      </c>
      <c r="J16" s="1448">
        <v>43132</v>
      </c>
      <c r="K16" s="1451"/>
      <c r="L16" s="1449" t="s">
        <v>1466</v>
      </c>
      <c r="M16" s="963">
        <v>2.29</v>
      </c>
      <c r="N16" s="963">
        <v>1.6182413759999996</v>
      </c>
      <c r="O16" s="964"/>
      <c r="P16" s="964"/>
      <c r="Q16" s="964"/>
      <c r="R16" s="964"/>
      <c r="S16" s="963">
        <f t="shared" si="2"/>
        <v>0.67175862400000041</v>
      </c>
    </row>
    <row r="17" spans="1:19" ht="43.5" x14ac:dyDescent="0.35">
      <c r="A17" s="1162">
        <v>5.3</v>
      </c>
      <c r="B17" s="1307" t="s">
        <v>920</v>
      </c>
      <c r="C17" s="1308" t="s">
        <v>898</v>
      </c>
      <c r="D17" s="1162" t="s">
        <v>917</v>
      </c>
      <c r="E17" s="1309">
        <v>42825</v>
      </c>
      <c r="F17" s="1445" t="s">
        <v>891</v>
      </c>
      <c r="G17" s="1309">
        <f t="shared" si="0"/>
        <v>42825</v>
      </c>
      <c r="H17" s="1448">
        <v>43040</v>
      </c>
      <c r="I17" s="1449">
        <v>43070</v>
      </c>
      <c r="J17" s="1448">
        <v>43132</v>
      </c>
      <c r="K17" s="1451"/>
      <c r="L17" s="1449">
        <v>43374</v>
      </c>
      <c r="M17" s="963">
        <v>1.427</v>
      </c>
      <c r="N17" s="963">
        <v>0.57282329500000007</v>
      </c>
      <c r="O17" s="964"/>
      <c r="P17" s="964"/>
      <c r="Q17" s="964"/>
      <c r="R17" s="964"/>
      <c r="S17" s="963">
        <f t="shared" si="2"/>
        <v>0.85417670499999998</v>
      </c>
    </row>
    <row r="18" spans="1:19" ht="29" x14ac:dyDescent="0.35">
      <c r="A18" s="1162">
        <v>5.4</v>
      </c>
      <c r="B18" s="1307" t="s">
        <v>921</v>
      </c>
      <c r="C18" s="1308" t="s">
        <v>898</v>
      </c>
      <c r="D18" s="1162" t="s">
        <v>917</v>
      </c>
      <c r="E18" s="1309">
        <v>42825</v>
      </c>
      <c r="F18" s="1445" t="s">
        <v>892</v>
      </c>
      <c r="G18" s="1309">
        <f t="shared" si="0"/>
        <v>42825</v>
      </c>
      <c r="H18" s="1448">
        <v>43040</v>
      </c>
      <c r="I18" s="1449">
        <v>43040</v>
      </c>
      <c r="J18" s="1448">
        <v>43132</v>
      </c>
      <c r="K18" s="1451"/>
      <c r="L18" s="1449">
        <v>43466</v>
      </c>
      <c r="M18" s="963">
        <v>6.681</v>
      </c>
      <c r="N18" s="963">
        <v>7.5560763239999993</v>
      </c>
      <c r="O18" s="964"/>
      <c r="P18" s="964"/>
      <c r="Q18" s="964"/>
      <c r="R18" s="964"/>
      <c r="S18" s="963">
        <f t="shared" si="2"/>
        <v>-0.87507632399999924</v>
      </c>
    </row>
    <row r="19" spans="1:19" ht="43.5" x14ac:dyDescent="0.35">
      <c r="A19" s="1155">
        <v>14</v>
      </c>
      <c r="B19" s="1303" t="s">
        <v>922</v>
      </c>
      <c r="C19" s="1155" t="s">
        <v>896</v>
      </c>
      <c r="D19" s="1155" t="s">
        <v>923</v>
      </c>
      <c r="E19" s="1304">
        <v>44029</v>
      </c>
      <c r="F19" s="966"/>
      <c r="G19" s="1305">
        <f t="shared" si="0"/>
        <v>44029</v>
      </c>
      <c r="H19" s="1305"/>
      <c r="I19" s="1305" t="s">
        <v>915</v>
      </c>
      <c r="J19" s="1305" t="s">
        <v>915</v>
      </c>
      <c r="K19" s="1305"/>
      <c r="L19" s="1305" t="s">
        <v>915</v>
      </c>
      <c r="M19" s="965">
        <v>0</v>
      </c>
      <c r="N19" s="965">
        <v>0</v>
      </c>
      <c r="O19" s="966"/>
      <c r="P19" s="966"/>
      <c r="Q19" s="966"/>
      <c r="R19" s="966"/>
      <c r="S19" s="965">
        <f t="shared" si="2"/>
        <v>0</v>
      </c>
    </row>
    <row r="20" spans="1:19" ht="58" x14ac:dyDescent="0.35">
      <c r="A20" s="1162">
        <v>14.1</v>
      </c>
      <c r="B20" s="1307" t="s">
        <v>1498</v>
      </c>
      <c r="C20" s="1308" t="s">
        <v>898</v>
      </c>
      <c r="D20" s="1162" t="s">
        <v>923</v>
      </c>
      <c r="E20" s="1309">
        <v>44029</v>
      </c>
      <c r="F20" s="1445" t="s">
        <v>1465</v>
      </c>
      <c r="G20" s="1309">
        <f t="shared" si="0"/>
        <v>44029</v>
      </c>
      <c r="H20" s="1452">
        <v>43497</v>
      </c>
      <c r="I20" s="1453"/>
      <c r="J20" s="1453">
        <v>44136</v>
      </c>
      <c r="K20" s="1452">
        <v>44743</v>
      </c>
      <c r="L20" s="1452">
        <v>44743</v>
      </c>
      <c r="M20" s="963">
        <v>0.39500000000000002</v>
      </c>
      <c r="N20" s="963">
        <v>0.26762399999999997</v>
      </c>
      <c r="O20" s="964"/>
      <c r="P20" s="1383"/>
      <c r="Q20" s="964"/>
      <c r="R20" s="964"/>
      <c r="S20" s="963">
        <f t="shared" si="2"/>
        <v>0.12737600000000004</v>
      </c>
    </row>
    <row r="21" spans="1:19" ht="58" x14ac:dyDescent="0.35">
      <c r="A21" s="1162">
        <v>14.3</v>
      </c>
      <c r="B21" s="1307" t="s">
        <v>924</v>
      </c>
      <c r="C21" s="1308" t="s">
        <v>898</v>
      </c>
      <c r="D21" s="1162" t="s">
        <v>923</v>
      </c>
      <c r="E21" s="1309">
        <v>44029</v>
      </c>
      <c r="F21" s="1445" t="s">
        <v>1464</v>
      </c>
      <c r="G21" s="1309">
        <f t="shared" si="0"/>
        <v>44029</v>
      </c>
      <c r="H21" s="1452">
        <v>43497</v>
      </c>
      <c r="I21" s="1453"/>
      <c r="J21" s="1453">
        <v>44105</v>
      </c>
      <c r="K21" s="1452">
        <v>44896</v>
      </c>
      <c r="L21" s="1454" t="s">
        <v>899</v>
      </c>
      <c r="M21" s="963">
        <v>0.10199999999999999</v>
      </c>
      <c r="N21" s="963">
        <v>9.6156000000000005E-2</v>
      </c>
      <c r="O21" s="964"/>
      <c r="P21" s="1383"/>
      <c r="Q21" s="964"/>
      <c r="R21" s="964"/>
      <c r="S21" s="963">
        <f t="shared" si="2"/>
        <v>5.8439999999999881E-3</v>
      </c>
    </row>
    <row r="22" spans="1:19" ht="43.5" x14ac:dyDescent="0.35">
      <c r="A22" s="1162">
        <v>14.4</v>
      </c>
      <c r="B22" s="1307" t="s">
        <v>925</v>
      </c>
      <c r="C22" s="1308" t="s">
        <v>898</v>
      </c>
      <c r="D22" s="1162" t="s">
        <v>923</v>
      </c>
      <c r="E22" s="1309">
        <v>44029</v>
      </c>
      <c r="F22" s="1445" t="s">
        <v>893</v>
      </c>
      <c r="G22" s="1309">
        <f t="shared" si="0"/>
        <v>44029</v>
      </c>
      <c r="H22" s="1452">
        <v>43497</v>
      </c>
      <c r="I22" s="1453"/>
      <c r="J22" s="1453">
        <v>42644</v>
      </c>
      <c r="K22" s="1452">
        <v>44256</v>
      </c>
      <c r="L22" s="1454">
        <v>44256</v>
      </c>
      <c r="M22" s="963">
        <v>0.56100000000000005</v>
      </c>
      <c r="N22" s="963">
        <v>0.2723912</v>
      </c>
      <c r="O22" s="964"/>
      <c r="P22" s="1383">
        <v>0.28860880000000005</v>
      </c>
      <c r="Q22" s="964"/>
      <c r="R22" s="964"/>
      <c r="S22" s="963">
        <f t="shared" si="2"/>
        <v>0.28860880000000005</v>
      </c>
    </row>
    <row r="23" spans="1:19" ht="29" x14ac:dyDescent="0.35">
      <c r="A23" s="1162">
        <v>0</v>
      </c>
      <c r="B23" s="1307" t="s">
        <v>419</v>
      </c>
      <c r="C23" s="1308" t="s">
        <v>419</v>
      </c>
      <c r="D23" s="1162" t="s">
        <v>923</v>
      </c>
      <c r="E23" s="1309">
        <v>44029</v>
      </c>
      <c r="F23" s="964"/>
      <c r="G23" s="1309">
        <f t="shared" si="0"/>
        <v>44029</v>
      </c>
      <c r="H23" s="1310"/>
      <c r="I23" s="1309" t="s">
        <v>915</v>
      </c>
      <c r="J23" s="1309" t="s">
        <v>915</v>
      </c>
      <c r="K23" s="1310"/>
      <c r="L23" s="1309" t="s">
        <v>915</v>
      </c>
      <c r="M23" s="963">
        <v>0.85</v>
      </c>
      <c r="N23" s="963">
        <v>0</v>
      </c>
      <c r="O23" s="964"/>
      <c r="P23" s="964"/>
      <c r="Q23" s="964"/>
      <c r="R23" s="964"/>
      <c r="S23" s="963">
        <f t="shared" si="2"/>
        <v>0.85</v>
      </c>
    </row>
    <row r="24" spans="1:19" ht="29" x14ac:dyDescent="0.35">
      <c r="A24" s="1155">
        <v>16</v>
      </c>
      <c r="B24" s="1303" t="s">
        <v>926</v>
      </c>
      <c r="C24" s="1155" t="s">
        <v>896</v>
      </c>
      <c r="D24" s="1155" t="s">
        <v>927</v>
      </c>
      <c r="E24" s="1304">
        <v>44037</v>
      </c>
      <c r="F24" s="966"/>
      <c r="G24" s="1305">
        <f t="shared" si="0"/>
        <v>44037</v>
      </c>
      <c r="H24" s="1305"/>
      <c r="I24" s="1305" t="s">
        <v>915</v>
      </c>
      <c r="J24" s="1305" t="s">
        <v>915</v>
      </c>
      <c r="K24" s="1305"/>
      <c r="L24" s="1305" t="s">
        <v>915</v>
      </c>
      <c r="M24" s="965">
        <v>0</v>
      </c>
      <c r="N24" s="965">
        <v>0</v>
      </c>
      <c r="O24" s="966"/>
      <c r="P24" s="966"/>
      <c r="Q24" s="966"/>
      <c r="R24" s="966"/>
      <c r="S24" s="965">
        <f t="shared" si="2"/>
        <v>0</v>
      </c>
    </row>
    <row r="25" spans="1:19" ht="43.5" x14ac:dyDescent="0.35">
      <c r="A25" s="1162">
        <v>16.100000000000001</v>
      </c>
      <c r="B25" s="1307" t="s">
        <v>928</v>
      </c>
      <c r="C25" s="1308" t="s">
        <v>898</v>
      </c>
      <c r="D25" s="1162" t="s">
        <v>927</v>
      </c>
      <c r="E25" s="1309">
        <v>44037</v>
      </c>
      <c r="F25" s="1445" t="s">
        <v>894</v>
      </c>
      <c r="G25" s="1309">
        <f t="shared" si="0"/>
        <v>44037</v>
      </c>
      <c r="H25" s="1455">
        <v>43252</v>
      </c>
      <c r="I25" s="1449"/>
      <c r="J25" s="1448">
        <v>43921</v>
      </c>
      <c r="K25" s="1310"/>
      <c r="L25" s="1309" t="s">
        <v>899</v>
      </c>
      <c r="M25" s="963">
        <v>0.95099999999999996</v>
      </c>
      <c r="N25" s="963">
        <v>0</v>
      </c>
      <c r="O25" s="964"/>
      <c r="P25" s="964"/>
      <c r="Q25" s="964"/>
      <c r="R25" s="964"/>
      <c r="S25" s="963">
        <f t="shared" si="2"/>
        <v>0.95099999999999996</v>
      </c>
    </row>
    <row r="26" spans="1:19" ht="58" x14ac:dyDescent="0.35">
      <c r="A26" s="1162">
        <v>16.2</v>
      </c>
      <c r="B26" s="1307" t="s">
        <v>1497</v>
      </c>
      <c r="C26" s="1308" t="s">
        <v>898</v>
      </c>
      <c r="D26" s="1162" t="s">
        <v>927</v>
      </c>
      <c r="E26" s="1309">
        <v>44037</v>
      </c>
      <c r="F26" s="1445" t="s">
        <v>1463</v>
      </c>
      <c r="G26" s="1309">
        <f t="shared" si="0"/>
        <v>44037</v>
      </c>
      <c r="H26" s="1456">
        <v>43221</v>
      </c>
      <c r="I26" s="1454"/>
      <c r="J26" s="1454">
        <v>44286</v>
      </c>
      <c r="K26" s="1310"/>
      <c r="L26" s="1454">
        <v>44621</v>
      </c>
      <c r="M26" s="963">
        <v>0.29199999999999998</v>
      </c>
      <c r="N26" s="963">
        <v>0.25256440000000002</v>
      </c>
      <c r="O26" s="964"/>
      <c r="P26" s="1383">
        <v>3.943559999999996E-2</v>
      </c>
      <c r="Q26" s="964"/>
      <c r="R26" s="964"/>
      <c r="S26" s="963">
        <f t="shared" si="2"/>
        <v>3.943559999999996E-2</v>
      </c>
    </row>
    <row r="27" spans="1:19" ht="58" x14ac:dyDescent="0.35">
      <c r="A27" s="1162">
        <v>16.399999999999999</v>
      </c>
      <c r="B27" s="1307" t="s">
        <v>929</v>
      </c>
      <c r="C27" s="1308" t="s">
        <v>898</v>
      </c>
      <c r="D27" s="1162" t="s">
        <v>927</v>
      </c>
      <c r="E27" s="1309">
        <v>44037</v>
      </c>
      <c r="F27" s="1445" t="s">
        <v>895</v>
      </c>
      <c r="G27" s="1309">
        <f t="shared" si="0"/>
        <v>44037</v>
      </c>
      <c r="H27" s="1456">
        <v>43282</v>
      </c>
      <c r="I27" s="1457"/>
      <c r="J27" s="1454">
        <v>44286</v>
      </c>
      <c r="K27" s="1310"/>
      <c r="L27" s="1309" t="s">
        <v>899</v>
      </c>
      <c r="M27" s="963">
        <v>0.89999999999999991</v>
      </c>
      <c r="N27" s="963">
        <v>0.35828399999999999</v>
      </c>
      <c r="O27" s="964"/>
      <c r="P27" s="964"/>
      <c r="Q27" s="964"/>
      <c r="R27" s="964"/>
      <c r="S27" s="963">
        <f t="shared" si="2"/>
        <v>0.54171599999999986</v>
      </c>
    </row>
    <row r="28" spans="1:19" ht="43.5" x14ac:dyDescent="0.35">
      <c r="A28" s="1162">
        <v>16.5</v>
      </c>
      <c r="B28" s="1307" t="s">
        <v>1496</v>
      </c>
      <c r="C28" s="1308" t="s">
        <v>898</v>
      </c>
      <c r="D28" s="1162" t="s">
        <v>927</v>
      </c>
      <c r="E28" s="1309">
        <v>44037</v>
      </c>
      <c r="F28" s="1445" t="s">
        <v>1462</v>
      </c>
      <c r="G28" s="1309">
        <f t="shared" si="0"/>
        <v>44037</v>
      </c>
      <c r="H28" s="1456">
        <v>43344</v>
      </c>
      <c r="I28" s="1457"/>
      <c r="J28" s="1454">
        <v>43555</v>
      </c>
      <c r="K28" s="1310"/>
      <c r="L28" s="1309" t="s">
        <v>899</v>
      </c>
      <c r="M28" s="963">
        <v>4.657</v>
      </c>
      <c r="N28" s="963">
        <v>4.5730371359999999</v>
      </c>
      <c r="O28" s="964"/>
      <c r="P28" s="964"/>
      <c r="Q28" s="964"/>
      <c r="R28" s="964"/>
      <c r="S28" s="963">
        <f t="shared" si="2"/>
        <v>8.3962864000000081E-2</v>
      </c>
    </row>
    <row r="29" spans="1:19" ht="101.5" x14ac:dyDescent="0.35">
      <c r="A29" s="1162">
        <v>16.600000000000001</v>
      </c>
      <c r="B29" s="1307" t="s">
        <v>1495</v>
      </c>
      <c r="C29" s="1308" t="s">
        <v>898</v>
      </c>
      <c r="D29" s="1162" t="s">
        <v>927</v>
      </c>
      <c r="E29" s="1309">
        <v>44037</v>
      </c>
      <c r="F29" s="1445" t="s">
        <v>1461</v>
      </c>
      <c r="G29" s="1309">
        <f t="shared" si="0"/>
        <v>44037</v>
      </c>
      <c r="H29" s="1456">
        <v>43435</v>
      </c>
      <c r="I29" s="1449"/>
      <c r="J29" s="1448">
        <v>43555</v>
      </c>
      <c r="K29" s="1310"/>
      <c r="L29" s="1309" t="s">
        <v>899</v>
      </c>
      <c r="M29" s="963">
        <v>3.6220000000000003</v>
      </c>
      <c r="N29" s="963">
        <v>0.53395000000000004</v>
      </c>
      <c r="O29" s="964"/>
      <c r="P29" s="964"/>
      <c r="Q29" s="964"/>
      <c r="R29" s="964"/>
      <c r="S29" s="963">
        <f t="shared" si="2"/>
        <v>3.0880500000000004</v>
      </c>
    </row>
    <row r="30" spans="1:19" ht="29" x14ac:dyDescent="0.35">
      <c r="A30" s="1162">
        <v>0</v>
      </c>
      <c r="B30" s="1307" t="s">
        <v>419</v>
      </c>
      <c r="C30" s="1308" t="s">
        <v>419</v>
      </c>
      <c r="D30" s="1162" t="s">
        <v>927</v>
      </c>
      <c r="E30" s="1309">
        <v>44037</v>
      </c>
      <c r="F30" s="964"/>
      <c r="G30" s="1309">
        <f t="shared" si="0"/>
        <v>44037</v>
      </c>
      <c r="H30" s="1310"/>
      <c r="I30" s="1309" t="s">
        <v>915</v>
      </c>
      <c r="J30" s="1309" t="s">
        <v>915</v>
      </c>
      <c r="K30" s="1310"/>
      <c r="L30" s="1309" t="s">
        <v>915</v>
      </c>
      <c r="M30" s="963">
        <v>0.439</v>
      </c>
      <c r="N30" s="963">
        <v>0</v>
      </c>
      <c r="O30" s="964"/>
      <c r="P30" s="964"/>
      <c r="Q30" s="964"/>
      <c r="R30" s="964"/>
      <c r="S30" s="963">
        <f t="shared" si="2"/>
        <v>0.439</v>
      </c>
    </row>
    <row r="31" spans="1:19" ht="43.5" x14ac:dyDescent="0.35">
      <c r="A31" s="1155">
        <v>17</v>
      </c>
      <c r="B31" s="1303" t="s">
        <v>1492</v>
      </c>
      <c r="C31" s="1155" t="s">
        <v>896</v>
      </c>
      <c r="D31" s="1155" t="s">
        <v>1494</v>
      </c>
      <c r="E31" s="1304" t="s">
        <v>915</v>
      </c>
      <c r="F31" s="966"/>
      <c r="G31" s="1305" t="str">
        <f t="shared" si="0"/>
        <v>-</v>
      </c>
      <c r="H31" s="1305"/>
      <c r="I31" s="1305" t="s">
        <v>915</v>
      </c>
      <c r="J31" s="1305" t="s">
        <v>915</v>
      </c>
      <c r="K31" s="1305"/>
      <c r="L31" s="1305" t="s">
        <v>915</v>
      </c>
      <c r="M31" s="965">
        <v>0</v>
      </c>
      <c r="N31" s="965">
        <v>0</v>
      </c>
      <c r="O31" s="966"/>
      <c r="P31" s="966"/>
      <c r="Q31" s="966"/>
      <c r="R31" s="966"/>
      <c r="S31" s="965">
        <f t="shared" si="2"/>
        <v>0</v>
      </c>
    </row>
    <row r="32" spans="1:19" ht="43.5" x14ac:dyDescent="0.35">
      <c r="A32" s="1162">
        <v>17.100000000000001</v>
      </c>
      <c r="B32" s="1307" t="s">
        <v>1492</v>
      </c>
      <c r="C32" s="1308" t="s">
        <v>898</v>
      </c>
      <c r="D32" s="1162" t="s">
        <v>1494</v>
      </c>
      <c r="E32" s="1309" t="s">
        <v>915</v>
      </c>
      <c r="F32" s="964"/>
      <c r="G32" s="1309" t="str">
        <f t="shared" si="0"/>
        <v>-</v>
      </c>
      <c r="H32" s="1310"/>
      <c r="I32" s="1309" t="s">
        <v>915</v>
      </c>
      <c r="J32" s="1309" t="s">
        <v>915</v>
      </c>
      <c r="K32" s="1310"/>
      <c r="L32" s="1309" t="s">
        <v>915</v>
      </c>
      <c r="M32" s="963">
        <v>0</v>
      </c>
      <c r="N32" s="963">
        <v>12.06</v>
      </c>
      <c r="O32" s="964"/>
      <c r="P32" s="964"/>
      <c r="Q32" s="964"/>
      <c r="R32" s="964"/>
      <c r="S32" s="963">
        <f t="shared" si="2"/>
        <v>-12.06</v>
      </c>
    </row>
  </sheetData>
  <mergeCells count="18">
    <mergeCell ref="L5:L6"/>
    <mergeCell ref="M5:M6"/>
    <mergeCell ref="N5:N6"/>
    <mergeCell ref="O5:S5"/>
    <mergeCell ref="G4:I4"/>
    <mergeCell ref="J4:L4"/>
    <mergeCell ref="M4:S4"/>
    <mergeCell ref="G5:G6"/>
    <mergeCell ref="H5:H6"/>
    <mergeCell ref="I5:I6"/>
    <mergeCell ref="J5:J6"/>
    <mergeCell ref="K5:K6"/>
    <mergeCell ref="F4:F6"/>
    <mergeCell ref="A4:A6"/>
    <mergeCell ref="B4:B6"/>
    <mergeCell ref="C4:C6"/>
    <mergeCell ref="D4:D6"/>
    <mergeCell ref="E4:E6"/>
  </mergeCells>
  <conditionalFormatting sqref="D11:E13 G11:L13 D20:E23 G20:L23 D25:E30 G25:L30 G32:L32 D32:E32">
    <cfRule type="containsText" dxfId="426" priority="16" operator="containsText" text="DPR not submitted">
      <formula>NOT(ISERROR(SEARCH("DPR not submitted",D11)))</formula>
    </cfRule>
    <cfRule type="containsText" dxfId="425" priority="17" operator="containsText" text="Yet to be approved">
      <formula>NOT(ISERROR(SEARCH("Yet to be approved",D11)))</formula>
    </cfRule>
  </conditionalFormatting>
  <conditionalFormatting sqref="D15:D18">
    <cfRule type="containsText" dxfId="424" priority="30" operator="containsText" text="DPR not submitted">
      <formula>NOT(ISERROR(SEARCH("DPR not submitted",D15)))</formula>
    </cfRule>
    <cfRule type="containsText" dxfId="423" priority="31" operator="containsText" text="Yet to be approved">
      <formula>NOT(ISERROR(SEARCH("Yet to be approved",D15)))</formula>
    </cfRule>
  </conditionalFormatting>
  <conditionalFormatting sqref="E15:E18">
    <cfRule type="containsText" dxfId="422" priority="32" operator="containsText" text="DPR not submitted">
      <formula>NOT(ISERROR(SEARCH("DPR not submitted",E15)))</formula>
    </cfRule>
    <cfRule type="containsText" dxfId="421" priority="33" operator="containsText" text="Yet to be approved">
      <formula>NOT(ISERROR(SEARCH("Yet to be approved",E15)))</formula>
    </cfRule>
  </conditionalFormatting>
  <conditionalFormatting sqref="G15:G18">
    <cfRule type="containsText" dxfId="420" priority="28" operator="containsText" text="DPR not submitted">
      <formula>NOT(ISERROR(SEARCH("DPR not submitted",G15)))</formula>
    </cfRule>
    <cfRule type="containsText" dxfId="419" priority="29" operator="containsText" text="Yet to be approved">
      <formula>NOT(ISERROR(SEARCH("Yet to be approved",G15)))</formula>
    </cfRule>
  </conditionalFormatting>
  <conditionalFormatting sqref="H15:H18">
    <cfRule type="containsText" dxfId="418" priority="26" operator="containsText" text="DPR not submitted">
      <formula>NOT(ISERROR(SEARCH("DPR not submitted",H15)))</formula>
    </cfRule>
    <cfRule type="containsText" dxfId="417" priority="27" operator="containsText" text="Yet to be approved">
      <formula>NOT(ISERROR(SEARCH("Yet to be approved",H15)))</formula>
    </cfRule>
  </conditionalFormatting>
  <conditionalFormatting sqref="I15:I18">
    <cfRule type="containsText" dxfId="416" priority="24" operator="containsText" text="DPR not submitted">
      <formula>NOT(ISERROR(SEARCH("DPR not submitted",I15)))</formula>
    </cfRule>
    <cfRule type="containsText" dxfId="415" priority="25" operator="containsText" text="Yet to be approved">
      <formula>NOT(ISERROR(SEARCH("Yet to be approved",I15)))</formula>
    </cfRule>
  </conditionalFormatting>
  <conditionalFormatting sqref="J15:J18">
    <cfRule type="containsText" dxfId="414" priority="22" operator="containsText" text="DPR not submitted">
      <formula>NOT(ISERROR(SEARCH("DPR not submitted",J15)))</formula>
    </cfRule>
    <cfRule type="containsText" dxfId="413" priority="23" operator="containsText" text="Yet to be approved">
      <formula>NOT(ISERROR(SEARCH("Yet to be approved",J15)))</formula>
    </cfRule>
  </conditionalFormatting>
  <conditionalFormatting sqref="L15:L18">
    <cfRule type="containsText" dxfId="412" priority="20" operator="containsText" text="DPR not submitted">
      <formula>NOT(ISERROR(SEARCH("DPR not submitted",L15)))</formula>
    </cfRule>
    <cfRule type="containsText" dxfId="411" priority="21" operator="containsText" text="Yet to be approved">
      <formula>NOT(ISERROR(SEARCH("Yet to be approved",L15)))</formula>
    </cfRule>
  </conditionalFormatting>
  <conditionalFormatting sqref="K15:K18">
    <cfRule type="containsText" dxfId="410" priority="18" operator="containsText" text="DPR not submitted">
      <formula>NOT(ISERROR(SEARCH("DPR not submitted",K15)))</formula>
    </cfRule>
    <cfRule type="containsText" dxfId="409" priority="19" operator="containsText" text="Yet to be approved">
      <formula>NOT(ISERROR(SEARCH("Yet to be approved",K15)))</formula>
    </cfRule>
  </conditionalFormatting>
  <conditionalFormatting sqref="D10">
    <cfRule type="containsText" dxfId="408" priority="14" operator="containsText" text="DPR not submitted">
      <formula>NOT(ISERROR(SEARCH("DPR not submitted",D10)))</formula>
    </cfRule>
    <cfRule type="containsText" dxfId="407" priority="15" operator="containsText" text="Yet to be approved">
      <formula>NOT(ISERROR(SEARCH("Yet to be approved",D10)))</formula>
    </cfRule>
  </conditionalFormatting>
  <conditionalFormatting sqref="S10">
    <cfRule type="cellIs" dxfId="406" priority="13" operator="lessThan">
      <formula>0</formula>
    </cfRule>
  </conditionalFormatting>
  <conditionalFormatting sqref="D14">
    <cfRule type="containsText" dxfId="405" priority="11" operator="containsText" text="DPR not submitted">
      <formula>NOT(ISERROR(SEARCH("DPR not submitted",D14)))</formula>
    </cfRule>
    <cfRule type="containsText" dxfId="404" priority="12" operator="containsText" text="Yet to be approved">
      <formula>NOT(ISERROR(SEARCH("Yet to be approved",D14)))</formula>
    </cfRule>
  </conditionalFormatting>
  <conditionalFormatting sqref="D19">
    <cfRule type="containsText" dxfId="403" priority="9" operator="containsText" text="DPR not submitted">
      <formula>NOT(ISERROR(SEARCH("DPR not submitted",D19)))</formula>
    </cfRule>
    <cfRule type="containsText" dxfId="402" priority="10" operator="containsText" text="Yet to be approved">
      <formula>NOT(ISERROR(SEARCH("Yet to be approved",D19)))</formula>
    </cfRule>
  </conditionalFormatting>
  <conditionalFormatting sqref="D24">
    <cfRule type="containsText" dxfId="401" priority="7" operator="containsText" text="DPR not submitted">
      <formula>NOT(ISERROR(SEARCH("DPR not submitted",D24)))</formula>
    </cfRule>
    <cfRule type="containsText" dxfId="400" priority="8" operator="containsText" text="Yet to be approved">
      <formula>NOT(ISERROR(SEARCH("Yet to be approved",D24)))</formula>
    </cfRule>
  </conditionalFormatting>
  <conditionalFormatting sqref="S11:S30 S32">
    <cfRule type="cellIs" dxfId="399" priority="5" operator="greaterThan">
      <formula>0</formula>
    </cfRule>
    <cfRule type="cellIs" dxfId="398" priority="6" operator="lessThan">
      <formula>0</formula>
    </cfRule>
  </conditionalFormatting>
  <conditionalFormatting sqref="D31">
    <cfRule type="containsText" dxfId="397" priority="3" operator="containsText" text="DPR not submitted">
      <formula>NOT(ISERROR(SEARCH("DPR not submitted",D31)))</formula>
    </cfRule>
    <cfRule type="containsText" dxfId="396" priority="4" operator="containsText" text="Yet to be approved">
      <formula>NOT(ISERROR(SEARCH("Yet to be approved",D31)))</formula>
    </cfRule>
  </conditionalFormatting>
  <conditionalFormatting sqref="S31">
    <cfRule type="cellIs" dxfId="395" priority="1" operator="greaterThan">
      <formula>0</formula>
    </cfRule>
    <cfRule type="cellIs" dxfId="394" priority="2" operator="lessThan">
      <formula>0</formula>
    </cfRule>
  </conditionalFormatting>
  <pageMargins left="0.47244094488188981" right="0.19685039370078741" top="0.39370078740157483" bottom="0.35433070866141736" header="0.23622047244094491" footer="0.23622047244094491"/>
  <pageSetup paperSize="9" scale="55" fitToWidth="2" fitToHeight="0" pageOrder="overThenDown" orientation="landscape" r:id="rId1"/>
  <headerFooter alignWithMargins="0">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115"/>
  <sheetViews>
    <sheetView view="pageBreakPreview" zoomScale="80" zoomScaleNormal="80" zoomScaleSheetLayoutView="80" workbookViewId="0">
      <pane xSplit="2" ySplit="9" topLeftCell="O56" activePane="bottomRight" state="frozen"/>
      <selection activeCell="N10" sqref="N10:N32"/>
      <selection pane="topRight" activeCell="N10" sqref="N10:N32"/>
      <selection pane="bottomLeft" activeCell="N10" sqref="N10:N32"/>
      <selection pane="bottomRight" activeCell="AB58" sqref="AB58"/>
    </sheetView>
  </sheetViews>
  <sheetFormatPr defaultColWidth="9.1796875" defaultRowHeight="14.5" outlineLevelRow="1" outlineLevelCol="1" x14ac:dyDescent="0.25"/>
  <cols>
    <col min="1" max="1" width="5.453125" style="1336" customWidth="1"/>
    <col min="2" max="2" width="44" style="535" customWidth="1"/>
    <col min="3" max="3" width="9.54296875" style="1336" customWidth="1" outlineLevel="1"/>
    <col min="4" max="4" width="38" style="1336" customWidth="1" outlineLevel="1"/>
    <col min="5" max="5" width="16.7265625" style="1337" customWidth="1" outlineLevel="1"/>
    <col min="6" max="6" width="14.26953125" style="1338" customWidth="1" outlineLevel="1"/>
    <col min="7" max="7" width="14.26953125" style="535" customWidth="1" outlineLevel="1"/>
    <col min="8" max="8" width="14.26953125" style="535" customWidth="1"/>
    <col min="9" max="9" width="13.54296875" style="535" customWidth="1"/>
    <col min="10" max="10" width="9.26953125" style="535" customWidth="1"/>
    <col min="11" max="11" width="11.1796875" style="1337" customWidth="1"/>
    <col min="12" max="12" width="10.453125" style="535" customWidth="1"/>
    <col min="13" max="13" width="17.81640625" style="535" customWidth="1"/>
    <col min="14" max="14" width="15" style="535" customWidth="1"/>
    <col min="15" max="15" width="43.54296875" style="535" customWidth="1"/>
    <col min="16" max="16" width="15" style="1339" hidden="1" customWidth="1"/>
    <col min="17" max="17" width="10" style="1340" hidden="1" customWidth="1"/>
    <col min="18" max="19" width="9.81640625" style="1340" hidden="1" customWidth="1"/>
    <col min="20" max="20" width="9.81640625" style="1340" customWidth="1" outlineLevel="1"/>
    <col min="21" max="22" width="10.453125" style="1340" customWidth="1" outlineLevel="1"/>
    <col min="23" max="27" width="9.54296875" style="1340" customWidth="1" outlineLevel="1"/>
    <col min="28" max="28" width="9.54296875" style="1340" customWidth="1"/>
    <col min="29" max="29" width="12.54296875" style="1341" customWidth="1" outlineLevel="1"/>
    <col min="30" max="30" width="9.1796875" style="1342" customWidth="1" outlineLevel="1"/>
    <col min="31" max="34" width="9.7265625" style="1342" customWidth="1" outlineLevel="1"/>
    <col min="35" max="35" width="9.7265625" style="1342" customWidth="1"/>
    <col min="36" max="36" width="14.1796875" style="1343" hidden="1" customWidth="1"/>
    <col min="37" max="39" width="9.26953125" style="1344" hidden="1" customWidth="1"/>
    <col min="40" max="42" width="9.26953125" style="1344" customWidth="1" outlineLevel="1"/>
    <col min="43" max="48" width="8.54296875" style="1344" customWidth="1" outlineLevel="1"/>
    <col min="49" max="49" width="15" style="1344" customWidth="1" outlineLevel="1"/>
    <col min="50" max="50" width="10.453125" style="535" customWidth="1" outlineLevel="1"/>
    <col min="51" max="51" width="13.81640625" style="1336" customWidth="1"/>
    <col min="52" max="52" width="15.26953125" style="535" customWidth="1"/>
    <col min="53" max="53" width="12.54296875" style="535" customWidth="1"/>
    <col min="54" max="54" width="13.453125" style="535" customWidth="1"/>
    <col min="55" max="55" width="13.54296875" style="535" customWidth="1"/>
    <col min="56" max="58" width="9.1796875" style="535"/>
    <col min="59" max="59" width="11.26953125" style="535" customWidth="1"/>
    <col min="60" max="16384" width="9.1796875" style="535"/>
  </cols>
  <sheetData>
    <row r="1" spans="1:53" x14ac:dyDescent="0.25">
      <c r="D1" s="524" t="s">
        <v>1671</v>
      </c>
      <c r="AZ1" s="1336" t="s">
        <v>896</v>
      </c>
      <c r="BA1" s="535" t="s">
        <v>897</v>
      </c>
    </row>
    <row r="2" spans="1:53" x14ac:dyDescent="0.25">
      <c r="D2" s="1287" t="s">
        <v>1653</v>
      </c>
      <c r="AZ2" s="1336" t="s">
        <v>898</v>
      </c>
      <c r="BA2" s="535" t="s">
        <v>899</v>
      </c>
    </row>
    <row r="3" spans="1:53" x14ac:dyDescent="0.25">
      <c r="A3" s="526"/>
      <c r="B3" s="527" t="s">
        <v>0</v>
      </c>
      <c r="C3" s="528"/>
      <c r="D3" s="1289" t="s">
        <v>652</v>
      </c>
      <c r="E3" s="529"/>
      <c r="F3" s="530"/>
      <c r="G3" s="531"/>
      <c r="H3" s="531"/>
      <c r="I3" s="531"/>
      <c r="J3" s="531"/>
      <c r="K3" s="529"/>
      <c r="L3" s="531"/>
      <c r="M3" s="531"/>
      <c r="N3" s="531"/>
      <c r="O3" s="532"/>
      <c r="P3" s="1345"/>
      <c r="Q3" s="1346"/>
      <c r="R3" s="1346"/>
      <c r="S3" s="1346"/>
      <c r="T3" s="1346"/>
      <c r="U3" s="1346"/>
      <c r="V3" s="1346"/>
      <c r="W3" s="1347" t="s">
        <v>10</v>
      </c>
      <c r="X3" s="1347"/>
      <c r="Y3" s="1347"/>
      <c r="Z3" s="1347"/>
      <c r="AA3" s="1347"/>
      <c r="AB3" s="1347"/>
      <c r="AC3" s="1348"/>
      <c r="AD3" s="1349"/>
      <c r="AE3" s="1349"/>
      <c r="AF3" s="1349"/>
      <c r="AG3" s="1349"/>
      <c r="AH3" s="1349"/>
      <c r="AI3" s="1350"/>
      <c r="AJ3" s="1143"/>
      <c r="AK3" s="1351"/>
      <c r="AL3" s="1352"/>
      <c r="AO3" s="1352"/>
      <c r="AP3" s="1352"/>
      <c r="AQ3" s="1353" t="s">
        <v>10</v>
      </c>
      <c r="AR3" s="1353"/>
      <c r="AS3" s="1353"/>
      <c r="AT3" s="1353"/>
      <c r="AU3" s="1353"/>
      <c r="AV3" s="1353"/>
      <c r="AW3" s="1353"/>
      <c r="AX3" s="533"/>
      <c r="AY3" s="534"/>
      <c r="AZ3" s="1336" t="s">
        <v>419</v>
      </c>
      <c r="BA3" s="535" t="s">
        <v>900</v>
      </c>
    </row>
    <row r="4" spans="1:53" x14ac:dyDescent="0.25">
      <c r="A4" s="1601" t="s">
        <v>343</v>
      </c>
      <c r="B4" s="1601" t="s">
        <v>16</v>
      </c>
      <c r="C4" s="1601" t="s">
        <v>896</v>
      </c>
      <c r="D4" s="1601" t="s">
        <v>503</v>
      </c>
      <c r="E4" s="1615" t="s">
        <v>901</v>
      </c>
      <c r="F4" s="1615" t="s">
        <v>504</v>
      </c>
      <c r="G4" s="1601" t="s">
        <v>902</v>
      </c>
      <c r="H4" s="1601" t="s">
        <v>508</v>
      </c>
      <c r="I4" s="1601" t="s">
        <v>19</v>
      </c>
      <c r="J4" s="1601" t="s">
        <v>600</v>
      </c>
      <c r="K4" s="1615" t="s">
        <v>509</v>
      </c>
      <c r="L4" s="1601" t="s">
        <v>510</v>
      </c>
      <c r="M4" s="1601" t="s">
        <v>511</v>
      </c>
      <c r="N4" s="1601" t="s">
        <v>512</v>
      </c>
      <c r="O4" s="1601" t="s">
        <v>17</v>
      </c>
      <c r="P4" s="1603" t="s">
        <v>22</v>
      </c>
      <c r="Q4" s="1603"/>
      <c r="R4" s="1603"/>
      <c r="S4" s="1603"/>
      <c r="T4" s="1603"/>
      <c r="U4" s="1603"/>
      <c r="V4" s="1603"/>
      <c r="W4" s="1603"/>
      <c r="X4" s="1144"/>
      <c r="Y4" s="1144"/>
      <c r="Z4" s="1144"/>
      <c r="AA4" s="1144"/>
      <c r="AB4" s="1144"/>
      <c r="AC4" s="1618" t="s">
        <v>20</v>
      </c>
      <c r="AD4" s="1618"/>
      <c r="AE4" s="1618"/>
      <c r="AF4" s="1618"/>
      <c r="AG4" s="1618"/>
      <c r="AH4" s="1618"/>
      <c r="AI4" s="1618"/>
      <c r="AJ4" s="1603" t="s">
        <v>18</v>
      </c>
      <c r="AK4" s="1603"/>
      <c r="AL4" s="1603"/>
      <c r="AM4" s="1603"/>
      <c r="AN4" s="1603"/>
      <c r="AO4" s="1603"/>
      <c r="AP4" s="1603"/>
      <c r="AQ4" s="1603"/>
      <c r="AR4" s="1144"/>
      <c r="AS4" s="1144"/>
      <c r="AT4" s="1144"/>
      <c r="AU4" s="1144"/>
      <c r="AV4" s="1144"/>
      <c r="AW4" s="1619" t="s">
        <v>903</v>
      </c>
      <c r="AX4" s="1622" t="s">
        <v>27</v>
      </c>
      <c r="AY4" s="1616" t="s">
        <v>904</v>
      </c>
      <c r="AZ4" s="1336" t="s">
        <v>905</v>
      </c>
      <c r="BA4" s="1354" t="s">
        <v>906</v>
      </c>
    </row>
    <row r="5" spans="1:53" ht="30" customHeight="1" x14ac:dyDescent="0.25">
      <c r="A5" s="1601"/>
      <c r="B5" s="1601"/>
      <c r="C5" s="1601"/>
      <c r="D5" s="1601"/>
      <c r="E5" s="1615"/>
      <c r="F5" s="1615"/>
      <c r="G5" s="1601"/>
      <c r="H5" s="1601"/>
      <c r="I5" s="1601"/>
      <c r="J5" s="1601"/>
      <c r="K5" s="1615"/>
      <c r="L5" s="1601"/>
      <c r="M5" s="1601"/>
      <c r="N5" s="1601"/>
      <c r="O5" s="1601"/>
      <c r="P5" s="1603" t="s">
        <v>735</v>
      </c>
      <c r="Q5" s="1144" t="s">
        <v>7</v>
      </c>
      <c r="R5" s="1144" t="s">
        <v>7</v>
      </c>
      <c r="S5" s="1144" t="s">
        <v>7</v>
      </c>
      <c r="T5" s="1603" t="s">
        <v>1511</v>
      </c>
      <c r="U5" s="1144" t="s">
        <v>1509</v>
      </c>
      <c r="V5" s="1144" t="s">
        <v>1509</v>
      </c>
      <c r="W5" s="1144" t="s">
        <v>1508</v>
      </c>
      <c r="X5" s="1355" t="s">
        <v>21</v>
      </c>
      <c r="Y5" s="1355" t="s">
        <v>21</v>
      </c>
      <c r="Z5" s="1355" t="s">
        <v>21</v>
      </c>
      <c r="AA5" s="1355" t="s">
        <v>21</v>
      </c>
      <c r="AB5" s="1355" t="s">
        <v>21</v>
      </c>
      <c r="AC5" s="1617" t="s">
        <v>737</v>
      </c>
      <c r="AD5" s="1356" t="s">
        <v>7</v>
      </c>
      <c r="AE5" s="1356" t="s">
        <v>7</v>
      </c>
      <c r="AF5" s="1356" t="s">
        <v>7</v>
      </c>
      <c r="AG5" s="1356" t="s">
        <v>1509</v>
      </c>
      <c r="AH5" s="1356" t="s">
        <v>1509</v>
      </c>
      <c r="AI5" s="1356" t="s">
        <v>1508</v>
      </c>
      <c r="AJ5" s="1603" t="s">
        <v>738</v>
      </c>
      <c r="AK5" s="1144" t="s">
        <v>7</v>
      </c>
      <c r="AL5" s="1144" t="s">
        <v>7</v>
      </c>
      <c r="AM5" s="1144" t="s">
        <v>7</v>
      </c>
      <c r="AN5" s="1603" t="s">
        <v>1510</v>
      </c>
      <c r="AO5" s="1144" t="s">
        <v>1509</v>
      </c>
      <c r="AP5" s="1144" t="s">
        <v>1509</v>
      </c>
      <c r="AQ5" s="1144" t="s">
        <v>1508</v>
      </c>
      <c r="AR5" s="1355" t="s">
        <v>21</v>
      </c>
      <c r="AS5" s="1355" t="s">
        <v>21</v>
      </c>
      <c r="AT5" s="1355" t="s">
        <v>21</v>
      </c>
      <c r="AU5" s="1355" t="s">
        <v>21</v>
      </c>
      <c r="AV5" s="1355" t="s">
        <v>21</v>
      </c>
      <c r="AW5" s="1620"/>
      <c r="AX5" s="1623"/>
      <c r="AY5" s="1616"/>
      <c r="BA5" s="1354" t="s">
        <v>907</v>
      </c>
    </row>
    <row r="6" spans="1:53" ht="29" x14ac:dyDescent="0.25">
      <c r="A6" s="1601"/>
      <c r="B6" s="1601"/>
      <c r="C6" s="1601"/>
      <c r="D6" s="1601"/>
      <c r="E6" s="1615"/>
      <c r="F6" s="1615"/>
      <c r="G6" s="1601"/>
      <c r="H6" s="1601"/>
      <c r="I6" s="1601"/>
      <c r="J6" s="1601"/>
      <c r="K6" s="1615"/>
      <c r="L6" s="1601"/>
      <c r="M6" s="1601"/>
      <c r="N6" s="1601"/>
      <c r="O6" s="1601"/>
      <c r="P6" s="1603"/>
      <c r="Q6" s="1144" t="s">
        <v>326</v>
      </c>
      <c r="R6" s="1144" t="s">
        <v>517</v>
      </c>
      <c r="S6" s="1144" t="s">
        <v>518</v>
      </c>
      <c r="T6" s="1603"/>
      <c r="U6" s="1144" t="s">
        <v>519</v>
      </c>
      <c r="V6" s="1144" t="s">
        <v>520</v>
      </c>
      <c r="W6" s="1144" t="s">
        <v>521</v>
      </c>
      <c r="X6" s="1144" t="s">
        <v>1507</v>
      </c>
      <c r="Y6" s="1144" t="s">
        <v>1506</v>
      </c>
      <c r="Z6" s="1144" t="s">
        <v>1505</v>
      </c>
      <c r="AA6" s="1144" t="s">
        <v>1504</v>
      </c>
      <c r="AB6" s="1144" t="s">
        <v>1503</v>
      </c>
      <c r="AC6" s="1617"/>
      <c r="AD6" s="1356" t="s">
        <v>326</v>
      </c>
      <c r="AE6" s="1356" t="s">
        <v>517</v>
      </c>
      <c r="AF6" s="1356" t="s">
        <v>518</v>
      </c>
      <c r="AG6" s="1356" t="s">
        <v>519</v>
      </c>
      <c r="AH6" s="1356" t="s">
        <v>520</v>
      </c>
      <c r="AI6" s="1356" t="s">
        <v>521</v>
      </c>
      <c r="AJ6" s="1603"/>
      <c r="AK6" s="1144" t="s">
        <v>326</v>
      </c>
      <c r="AL6" s="1144" t="s">
        <v>517</v>
      </c>
      <c r="AM6" s="1144" t="s">
        <v>518</v>
      </c>
      <c r="AN6" s="1603"/>
      <c r="AO6" s="1144" t="s">
        <v>519</v>
      </c>
      <c r="AP6" s="1144" t="s">
        <v>520</v>
      </c>
      <c r="AQ6" s="1144" t="s">
        <v>521</v>
      </c>
      <c r="AR6" s="1144" t="s">
        <v>1507</v>
      </c>
      <c r="AS6" s="1144" t="s">
        <v>1506</v>
      </c>
      <c r="AT6" s="1144" t="s">
        <v>1505</v>
      </c>
      <c r="AU6" s="1144" t="s">
        <v>1504</v>
      </c>
      <c r="AV6" s="1144" t="s">
        <v>1503</v>
      </c>
      <c r="AW6" s="1621"/>
      <c r="AX6" s="1624"/>
      <c r="AY6" s="1616"/>
      <c r="BA6" s="1354" t="s">
        <v>908</v>
      </c>
    </row>
    <row r="7" spans="1:53" x14ac:dyDescent="0.25">
      <c r="A7" s="968"/>
      <c r="B7" s="968"/>
      <c r="C7" s="968"/>
      <c r="D7" s="968"/>
      <c r="E7" s="972"/>
      <c r="F7" s="972"/>
      <c r="G7" s="968"/>
      <c r="H7" s="968"/>
      <c r="I7" s="968"/>
      <c r="J7" s="968"/>
      <c r="K7" s="972"/>
      <c r="L7" s="968"/>
      <c r="M7" s="968"/>
      <c r="N7" s="968"/>
      <c r="O7" s="968"/>
      <c r="P7" s="1295"/>
      <c r="Q7" s="1295"/>
      <c r="R7" s="1295"/>
      <c r="S7" s="1295"/>
      <c r="T7" s="1295"/>
      <c r="U7" s="1295"/>
      <c r="V7" s="1295"/>
      <c r="W7" s="1295"/>
      <c r="X7" s="1295"/>
      <c r="Y7" s="1295"/>
      <c r="Z7" s="1295"/>
      <c r="AA7" s="1295"/>
      <c r="AB7" s="1295"/>
      <c r="AC7" s="1357"/>
      <c r="AD7" s="1358"/>
      <c r="AE7" s="1358"/>
      <c r="AF7" s="1358"/>
      <c r="AG7" s="1358"/>
      <c r="AH7" s="1358"/>
      <c r="AI7" s="1358"/>
      <c r="AJ7" s="1295"/>
      <c r="AK7" s="1295"/>
      <c r="AL7" s="1295"/>
      <c r="AM7" s="1295"/>
      <c r="AN7" s="1295"/>
      <c r="AO7" s="1295"/>
      <c r="AP7" s="1295"/>
      <c r="AQ7" s="1295"/>
      <c r="AR7" s="1295"/>
      <c r="AS7" s="1295"/>
      <c r="AT7" s="1295"/>
      <c r="AU7" s="1295"/>
      <c r="AV7" s="1295"/>
      <c r="AW7" s="1295"/>
      <c r="AX7" s="968"/>
      <c r="AY7" s="1005" t="s">
        <v>909</v>
      </c>
      <c r="BA7" s="535" t="s">
        <v>909</v>
      </c>
    </row>
    <row r="8" spans="1:53" x14ac:dyDescent="0.25">
      <c r="A8" s="1359"/>
      <c r="B8" s="985" t="s">
        <v>910</v>
      </c>
      <c r="C8" s="984"/>
      <c r="D8" s="984"/>
      <c r="E8" s="982"/>
      <c r="F8" s="983"/>
      <c r="G8" s="981"/>
      <c r="H8" s="981"/>
      <c r="I8" s="981"/>
      <c r="J8" s="981"/>
      <c r="K8" s="982"/>
      <c r="L8" s="981"/>
      <c r="M8" s="981"/>
      <c r="N8" s="981"/>
      <c r="O8" s="981"/>
      <c r="P8" s="1360"/>
      <c r="Q8" s="1361"/>
      <c r="R8" s="1361"/>
      <c r="S8" s="1361"/>
      <c r="T8" s="1361"/>
      <c r="U8" s="1361"/>
      <c r="V8" s="1361"/>
      <c r="W8" s="1361"/>
      <c r="X8" s="1361"/>
      <c r="Y8" s="1361"/>
      <c r="Z8" s="1361"/>
      <c r="AA8" s="1361"/>
      <c r="AB8" s="1361"/>
      <c r="AC8" s="1362"/>
      <c r="AD8" s="1363"/>
      <c r="AE8" s="1363"/>
      <c r="AF8" s="1363"/>
      <c r="AG8" s="1363"/>
      <c r="AH8" s="1363"/>
      <c r="AI8" s="1363"/>
      <c r="AJ8" s="1360"/>
      <c r="AK8" s="1176"/>
      <c r="AL8" s="1176"/>
      <c r="AM8" s="1176"/>
      <c r="AN8" s="1176"/>
      <c r="AO8" s="1176"/>
      <c r="AP8" s="1176"/>
      <c r="AQ8" s="1176"/>
      <c r="AR8" s="1176"/>
      <c r="AS8" s="1176"/>
      <c r="AT8" s="1176"/>
      <c r="AU8" s="1176"/>
      <c r="AV8" s="1176"/>
      <c r="AW8" s="1176"/>
      <c r="AX8" s="981"/>
      <c r="AY8" s="984" t="s">
        <v>909</v>
      </c>
      <c r="BA8" s="535" t="s">
        <v>911</v>
      </c>
    </row>
    <row r="9" spans="1:53" x14ac:dyDescent="0.25">
      <c r="A9" s="1359"/>
      <c r="B9" s="1302" t="s">
        <v>912</v>
      </c>
      <c r="C9" s="984"/>
      <c r="D9" s="984"/>
      <c r="E9" s="982"/>
      <c r="F9" s="983"/>
      <c r="G9" s="981"/>
      <c r="H9" s="981"/>
      <c r="I9" s="981"/>
      <c r="J9" s="981"/>
      <c r="K9" s="982"/>
      <c r="L9" s="981"/>
      <c r="M9" s="981"/>
      <c r="N9" s="981"/>
      <c r="O9" s="981"/>
      <c r="P9" s="1360"/>
      <c r="Q9" s="1361"/>
      <c r="R9" s="1361"/>
      <c r="S9" s="1361"/>
      <c r="T9" s="1361"/>
      <c r="U9" s="1361"/>
      <c r="V9" s="1361"/>
      <c r="W9" s="1361"/>
      <c r="X9" s="1361"/>
      <c r="Y9" s="1361"/>
      <c r="Z9" s="1361"/>
      <c r="AA9" s="1361"/>
      <c r="AB9" s="1361"/>
      <c r="AC9" s="1362"/>
      <c r="AD9" s="1363"/>
      <c r="AE9" s="1363"/>
      <c r="AF9" s="1363"/>
      <c r="AG9" s="1363"/>
      <c r="AH9" s="1363"/>
      <c r="AI9" s="1363"/>
      <c r="AJ9" s="1360"/>
      <c r="AK9" s="1176"/>
      <c r="AL9" s="1176"/>
      <c r="AM9" s="1176"/>
      <c r="AN9" s="1176"/>
      <c r="AO9" s="1176"/>
      <c r="AP9" s="1176"/>
      <c r="AQ9" s="1176"/>
      <c r="AR9" s="1176"/>
      <c r="AS9" s="1176"/>
      <c r="AT9" s="1176"/>
      <c r="AU9" s="1176"/>
      <c r="AV9" s="1176"/>
      <c r="AW9" s="1176"/>
      <c r="AX9" s="981"/>
      <c r="AY9" s="984" t="s">
        <v>909</v>
      </c>
    </row>
    <row r="10" spans="1:53" ht="15" customHeight="1" outlineLevel="1" x14ac:dyDescent="0.25">
      <c r="A10" s="1155">
        <v>2</v>
      </c>
      <c r="B10" s="1303" t="s">
        <v>913</v>
      </c>
      <c r="C10" s="1155" t="s">
        <v>896</v>
      </c>
      <c r="D10" s="1155" t="s">
        <v>914</v>
      </c>
      <c r="E10" s="1364">
        <v>41657</v>
      </c>
      <c r="F10" s="1365">
        <v>41871</v>
      </c>
      <c r="G10" s="1001">
        <f>SUM(G11:G13)</f>
        <v>1.5511999999999999</v>
      </c>
      <c r="H10" s="1001">
        <f>SUM(H11:H13)</f>
        <v>1.5511999999999999</v>
      </c>
      <c r="I10" s="999"/>
      <c r="J10" s="999"/>
      <c r="K10" s="1000">
        <f t="shared" ref="K10:K30" si="0">IF(F10=0,"-",F10)</f>
        <v>41871</v>
      </c>
      <c r="L10" s="999"/>
      <c r="M10" s="999"/>
      <c r="N10" s="999"/>
      <c r="O10" s="999"/>
      <c r="P10" s="1306"/>
      <c r="Q10" s="1306"/>
      <c r="R10" s="1306"/>
      <c r="S10" s="1306"/>
      <c r="T10" s="1306">
        <f>SUM(P10:S10)</f>
        <v>0</v>
      </c>
      <c r="U10" s="1366"/>
      <c r="V10" s="1366"/>
      <c r="W10" s="1366"/>
      <c r="X10" s="1366"/>
      <c r="Y10" s="1366"/>
      <c r="Z10" s="1366"/>
      <c r="AA10" s="1366"/>
      <c r="AB10" s="1366"/>
      <c r="AC10" s="1367"/>
      <c r="AD10" s="1368"/>
      <c r="AE10" s="1368"/>
      <c r="AF10" s="1368"/>
      <c r="AG10" s="1368"/>
      <c r="AH10" s="1368"/>
      <c r="AI10" s="1368"/>
      <c r="AJ10" s="1306"/>
      <c r="AK10" s="1306"/>
      <c r="AL10" s="1306"/>
      <c r="AM10" s="1306"/>
      <c r="AN10" s="1306">
        <f>SUM(AJ10:AM10)</f>
        <v>0</v>
      </c>
      <c r="AO10" s="1366"/>
      <c r="AP10" s="1366"/>
      <c r="AQ10" s="1366"/>
      <c r="AR10" s="1366"/>
      <c r="AS10" s="1366"/>
      <c r="AT10" s="1366"/>
      <c r="AU10" s="1366"/>
      <c r="AV10" s="1366"/>
      <c r="AW10" s="1366"/>
      <c r="AX10" s="998"/>
      <c r="AY10" s="1369" t="s">
        <v>909</v>
      </c>
    </row>
    <row r="11" spans="1:53" ht="43.5" outlineLevel="1" x14ac:dyDescent="0.25">
      <c r="A11" s="1162">
        <v>2.4</v>
      </c>
      <c r="B11" s="1370" t="s">
        <v>1502</v>
      </c>
      <c r="C11" s="1308" t="s">
        <v>898</v>
      </c>
      <c r="D11" s="1162" t="str">
        <f>D10</f>
        <v>MERC/TECH 12/CAPEX/20142015/00876</v>
      </c>
      <c r="E11" s="1309">
        <f>E10</f>
        <v>41657</v>
      </c>
      <c r="F11" s="1309">
        <f>F10</f>
        <v>41871</v>
      </c>
      <c r="G11" s="1004">
        <v>0.52</v>
      </c>
      <c r="H11" s="1004">
        <v>0.52</v>
      </c>
      <c r="I11" s="996"/>
      <c r="J11" s="996"/>
      <c r="K11" s="983">
        <f t="shared" si="0"/>
        <v>41871</v>
      </c>
      <c r="L11" s="1371">
        <v>42918</v>
      </c>
      <c r="M11" s="1371">
        <v>40940</v>
      </c>
      <c r="N11" s="1371">
        <v>42918</v>
      </c>
      <c r="O11" s="1372" t="s">
        <v>888</v>
      </c>
      <c r="P11" s="1360">
        <v>0.30932749999999998</v>
      </c>
      <c r="Q11" s="1373"/>
      <c r="R11" s="1373"/>
      <c r="S11" s="1373"/>
      <c r="T11" s="1306">
        <f t="shared" ref="T11:T57" si="1">SUM(P11:S11)</f>
        <v>0.30932749999999998</v>
      </c>
      <c r="U11" s="1374"/>
      <c r="V11" s="1374"/>
      <c r="W11" s="1374"/>
      <c r="X11" s="1374"/>
      <c r="Y11" s="1374"/>
      <c r="Z11" s="1374"/>
      <c r="AA11" s="1374"/>
      <c r="AB11" s="1374"/>
      <c r="AC11" s="1362">
        <v>1</v>
      </c>
      <c r="AD11" s="1368"/>
      <c r="AE11" s="1368"/>
      <c r="AF11" s="1368"/>
      <c r="AG11" s="1368"/>
      <c r="AH11" s="1368"/>
      <c r="AI11" s="1368"/>
      <c r="AJ11" s="1360">
        <v>0.30932749999999998</v>
      </c>
      <c r="AK11" s="1375"/>
      <c r="AL11" s="1375"/>
      <c r="AM11" s="1375"/>
      <c r="AN11" s="1306">
        <f t="shared" ref="AN11:AN57" si="2">SUM(AJ11:AM11)</f>
        <v>0.30932749999999998</v>
      </c>
      <c r="AO11" s="1376"/>
      <c r="AP11" s="1376"/>
      <c r="AQ11" s="1376"/>
      <c r="AR11" s="1376"/>
      <c r="AS11" s="1376"/>
      <c r="AT11" s="1376"/>
      <c r="AU11" s="1376"/>
      <c r="AV11" s="1376"/>
      <c r="AW11" s="1376"/>
      <c r="AX11" s="998"/>
      <c r="AY11" s="1377" t="s">
        <v>906</v>
      </c>
    </row>
    <row r="12" spans="1:53" ht="29" outlineLevel="1" x14ac:dyDescent="0.25">
      <c r="A12" s="1162">
        <v>2.5</v>
      </c>
      <c r="B12" s="1370" t="s">
        <v>1501</v>
      </c>
      <c r="C12" s="1308" t="s">
        <v>898</v>
      </c>
      <c r="D12" s="1162" t="str">
        <f t="shared" ref="D12:E13" si="3">D11</f>
        <v>MERC/TECH 12/CAPEX/20142015/00876</v>
      </c>
      <c r="E12" s="1309">
        <f t="shared" si="3"/>
        <v>41657</v>
      </c>
      <c r="F12" s="983">
        <f t="shared" ref="F12:F13" si="4">IF(F11=0,"-",F11)</f>
        <v>41871</v>
      </c>
      <c r="G12" s="1004">
        <v>0.7</v>
      </c>
      <c r="H12" s="1004">
        <v>0.7</v>
      </c>
      <c r="I12" s="996"/>
      <c r="J12" s="996"/>
      <c r="K12" s="983">
        <f t="shared" si="0"/>
        <v>41871</v>
      </c>
      <c r="L12" s="1371">
        <v>41913</v>
      </c>
      <c r="M12" s="1371">
        <v>42094</v>
      </c>
      <c r="N12" s="1378">
        <v>43038</v>
      </c>
      <c r="O12" s="1372" t="s">
        <v>1500</v>
      </c>
      <c r="P12" s="1360">
        <v>0.73791230399999996</v>
      </c>
      <c r="Q12" s="1373"/>
      <c r="R12" s="1373"/>
      <c r="S12" s="1373"/>
      <c r="T12" s="1306">
        <f t="shared" si="1"/>
        <v>0.73791230399999996</v>
      </c>
      <c r="U12" s="1374"/>
      <c r="V12" s="1374"/>
      <c r="W12" s="1374"/>
      <c r="X12" s="1374"/>
      <c r="Y12" s="1374"/>
      <c r="Z12" s="1374"/>
      <c r="AA12" s="1374"/>
      <c r="AB12" s="1374"/>
      <c r="AC12" s="1362">
        <v>1</v>
      </c>
      <c r="AD12" s="1368"/>
      <c r="AE12" s="1368"/>
      <c r="AF12" s="1368"/>
      <c r="AG12" s="1368"/>
      <c r="AH12" s="1368"/>
      <c r="AI12" s="1368"/>
      <c r="AJ12" s="1360">
        <v>0.73791230399999996</v>
      </c>
      <c r="AK12" s="1375"/>
      <c r="AL12" s="1375"/>
      <c r="AM12" s="1375"/>
      <c r="AN12" s="1306">
        <f t="shared" si="2"/>
        <v>0.73791230399999996</v>
      </c>
      <c r="AO12" s="1376"/>
      <c r="AP12" s="1376"/>
      <c r="AQ12" s="1376"/>
      <c r="AR12" s="1376"/>
      <c r="AS12" s="1376"/>
      <c r="AT12" s="1376"/>
      <c r="AU12" s="1376"/>
      <c r="AV12" s="1376"/>
      <c r="AW12" s="1376"/>
      <c r="AX12" s="998"/>
      <c r="AY12" s="1377" t="s">
        <v>906</v>
      </c>
    </row>
    <row r="13" spans="1:53" outlineLevel="1" x14ac:dyDescent="0.25">
      <c r="A13" s="1162"/>
      <c r="B13" s="1370" t="s">
        <v>419</v>
      </c>
      <c r="C13" s="1308" t="s">
        <v>419</v>
      </c>
      <c r="D13" s="1162" t="str">
        <f t="shared" si="3"/>
        <v>MERC/TECH 12/CAPEX/20142015/00876</v>
      </c>
      <c r="E13" s="1309">
        <f t="shared" si="3"/>
        <v>41657</v>
      </c>
      <c r="F13" s="983">
        <f t="shared" si="4"/>
        <v>41871</v>
      </c>
      <c r="G13" s="1004">
        <v>0.33119999999999999</v>
      </c>
      <c r="H13" s="1004">
        <v>0.33119999999999999</v>
      </c>
      <c r="I13" s="996"/>
      <c r="J13" s="996"/>
      <c r="K13" s="983">
        <f t="shared" si="0"/>
        <v>41871</v>
      </c>
      <c r="L13" s="996"/>
      <c r="M13" s="996"/>
      <c r="N13" s="996"/>
      <c r="O13" s="996"/>
      <c r="P13" s="1360">
        <v>0</v>
      </c>
      <c r="Q13" s="1373"/>
      <c r="R13" s="1373"/>
      <c r="S13" s="1373"/>
      <c r="T13" s="1306">
        <f t="shared" si="1"/>
        <v>0</v>
      </c>
      <c r="U13" s="1374"/>
      <c r="V13" s="1374"/>
      <c r="W13" s="1374"/>
      <c r="X13" s="1374"/>
      <c r="Y13" s="1374"/>
      <c r="Z13" s="1374"/>
      <c r="AA13" s="1374"/>
      <c r="AB13" s="1374"/>
      <c r="AC13" s="1362" t="s">
        <v>915</v>
      </c>
      <c r="AD13" s="1368"/>
      <c r="AE13" s="1368"/>
      <c r="AF13" s="1368"/>
      <c r="AG13" s="1368"/>
      <c r="AH13" s="1368"/>
      <c r="AI13" s="1368"/>
      <c r="AJ13" s="1360">
        <v>0</v>
      </c>
      <c r="AK13" s="1375"/>
      <c r="AL13" s="1375"/>
      <c r="AM13" s="1375"/>
      <c r="AN13" s="1306">
        <f t="shared" si="2"/>
        <v>0</v>
      </c>
      <c r="AO13" s="1376"/>
      <c r="AP13" s="1376"/>
      <c r="AQ13" s="1376"/>
      <c r="AR13" s="1376"/>
      <c r="AS13" s="1376"/>
      <c r="AT13" s="1376"/>
      <c r="AU13" s="1376"/>
      <c r="AV13" s="1376"/>
      <c r="AW13" s="1376"/>
      <c r="AX13" s="998"/>
      <c r="AY13" s="1377" t="s">
        <v>909</v>
      </c>
    </row>
    <row r="14" spans="1:53" ht="29" outlineLevel="1" x14ac:dyDescent="0.25">
      <c r="A14" s="1155">
        <v>5</v>
      </c>
      <c r="B14" s="1303" t="s">
        <v>916</v>
      </c>
      <c r="C14" s="1155" t="s">
        <v>896</v>
      </c>
      <c r="D14" s="1155" t="s">
        <v>917</v>
      </c>
      <c r="E14" s="1364">
        <v>42689</v>
      </c>
      <c r="F14" s="1365">
        <v>42825</v>
      </c>
      <c r="G14" s="1001">
        <f>SUM(G15:G18)</f>
        <v>13.808946300000001</v>
      </c>
      <c r="H14" s="1001">
        <f>SUM(H15:H18)</f>
        <v>12.812999999999999</v>
      </c>
      <c r="I14" s="999"/>
      <c r="J14" s="999"/>
      <c r="K14" s="1000">
        <f t="shared" si="0"/>
        <v>42825</v>
      </c>
      <c r="L14" s="999"/>
      <c r="M14" s="999"/>
      <c r="N14" s="999"/>
      <c r="O14" s="999"/>
      <c r="P14" s="1306"/>
      <c r="Q14" s="1306"/>
      <c r="R14" s="1306"/>
      <c r="S14" s="1306"/>
      <c r="T14" s="1306">
        <f t="shared" si="1"/>
        <v>0</v>
      </c>
      <c r="U14" s="1366"/>
      <c r="V14" s="1366"/>
      <c r="W14" s="1366"/>
      <c r="X14" s="1366"/>
      <c r="Y14" s="1366"/>
      <c r="Z14" s="1366"/>
      <c r="AA14" s="1366"/>
      <c r="AB14" s="1366"/>
      <c r="AC14" s="1367"/>
      <c r="AD14" s="1368"/>
      <c r="AE14" s="1368"/>
      <c r="AF14" s="1368"/>
      <c r="AG14" s="1368"/>
      <c r="AH14" s="1368"/>
      <c r="AI14" s="1368"/>
      <c r="AJ14" s="1306"/>
      <c r="AK14" s="1306"/>
      <c r="AL14" s="1306"/>
      <c r="AM14" s="1306"/>
      <c r="AN14" s="1306">
        <f t="shared" si="2"/>
        <v>0</v>
      </c>
      <c r="AO14" s="1366"/>
      <c r="AP14" s="1366"/>
      <c r="AQ14" s="1366"/>
      <c r="AR14" s="1366"/>
      <c r="AS14" s="1366"/>
      <c r="AT14" s="1366"/>
      <c r="AU14" s="1366"/>
      <c r="AV14" s="1366"/>
      <c r="AW14" s="1366"/>
      <c r="AX14" s="998"/>
      <c r="AY14" s="1369" t="s">
        <v>909</v>
      </c>
    </row>
    <row r="15" spans="1:53" ht="43.5" outlineLevel="1" x14ac:dyDescent="0.25">
      <c r="A15" s="1162">
        <v>5.0999999999999996</v>
      </c>
      <c r="B15" s="1370" t="s">
        <v>918</v>
      </c>
      <c r="C15" s="1308" t="s">
        <v>898</v>
      </c>
      <c r="D15" s="1162" t="str">
        <f>D14</f>
        <v>MERC/CAPEX/20162017/01745</v>
      </c>
      <c r="E15" s="1309">
        <f>E14</f>
        <v>42689</v>
      </c>
      <c r="F15" s="983">
        <f>IF(F14=0,"-",F14)</f>
        <v>42825</v>
      </c>
      <c r="G15" s="1004">
        <v>3.4090495999999999</v>
      </c>
      <c r="H15" s="1004">
        <v>2.415</v>
      </c>
      <c r="I15" s="996"/>
      <c r="J15" s="996"/>
      <c r="K15" s="983">
        <f t="shared" si="0"/>
        <v>42825</v>
      </c>
      <c r="L15" s="1371">
        <v>43101</v>
      </c>
      <c r="M15" s="1371">
        <v>43132</v>
      </c>
      <c r="N15" s="1378">
        <v>43405</v>
      </c>
      <c r="O15" s="1372" t="s">
        <v>1499</v>
      </c>
      <c r="P15" s="1360">
        <v>0.90913957400000001</v>
      </c>
      <c r="Q15" s="1379">
        <v>0.26893571000000016</v>
      </c>
      <c r="R15" s="1379">
        <v>8.9428199999999999E-2</v>
      </c>
      <c r="S15" s="1379">
        <v>0</v>
      </c>
      <c r="T15" s="1306">
        <f t="shared" si="1"/>
        <v>1.2675034840000001</v>
      </c>
      <c r="U15" s="1380"/>
      <c r="V15" s="1380"/>
      <c r="W15" s="1380"/>
      <c r="X15" s="1380"/>
      <c r="Y15" s="1380"/>
      <c r="Z15" s="1380"/>
      <c r="AA15" s="1380"/>
      <c r="AB15" s="1380"/>
      <c r="AC15" s="1381">
        <v>0.78906399150015016</v>
      </c>
      <c r="AD15" s="1381">
        <v>1</v>
      </c>
      <c r="AE15" s="1381"/>
      <c r="AF15" s="1381"/>
      <c r="AG15" s="1382"/>
      <c r="AH15" s="1382"/>
      <c r="AI15" s="1382"/>
      <c r="AJ15" s="1360">
        <v>0.55543547200000021</v>
      </c>
      <c r="AK15" s="1383">
        <v>0.62263981199999996</v>
      </c>
      <c r="AL15" s="1383">
        <v>8.9428199999999999E-2</v>
      </c>
      <c r="AM15" s="1383">
        <v>0</v>
      </c>
      <c r="AN15" s="1306">
        <f t="shared" si="2"/>
        <v>1.2675034840000001</v>
      </c>
      <c r="AO15" s="1384">
        <v>0</v>
      </c>
      <c r="AP15" s="1384"/>
      <c r="AQ15" s="1384"/>
      <c r="AR15" s="1384"/>
      <c r="AS15" s="1384"/>
      <c r="AT15" s="1384"/>
      <c r="AU15" s="1384"/>
      <c r="AV15" s="1384"/>
      <c r="AW15" s="1384">
        <v>0</v>
      </c>
      <c r="AX15" s="995"/>
      <c r="AY15" s="1377" t="s">
        <v>906</v>
      </c>
    </row>
    <row r="16" spans="1:53" ht="29" outlineLevel="1" x14ac:dyDescent="0.25">
      <c r="A16" s="1162">
        <v>5.2</v>
      </c>
      <c r="B16" s="1370" t="s">
        <v>919</v>
      </c>
      <c r="C16" s="1308" t="s">
        <v>898</v>
      </c>
      <c r="D16" s="1162" t="str">
        <f t="shared" ref="D16:E18" si="5">D15</f>
        <v>MERC/CAPEX/20162017/01745</v>
      </c>
      <c r="E16" s="1309">
        <f t="shared" si="5"/>
        <v>42689</v>
      </c>
      <c r="F16" s="983">
        <f t="shared" ref="F16:F18" si="6">IF(F15=0,"-",F15)</f>
        <v>42825</v>
      </c>
      <c r="G16" s="1004">
        <v>2.2906564999999999</v>
      </c>
      <c r="H16" s="1004">
        <v>2.29</v>
      </c>
      <c r="I16" s="996"/>
      <c r="J16" s="996"/>
      <c r="K16" s="983">
        <f t="shared" si="0"/>
        <v>42825</v>
      </c>
      <c r="L16" s="1371">
        <v>43101</v>
      </c>
      <c r="M16" s="1371">
        <v>43132</v>
      </c>
      <c r="N16" s="1378" t="s">
        <v>1466</v>
      </c>
      <c r="O16" s="1372" t="s">
        <v>890</v>
      </c>
      <c r="P16" s="1360">
        <v>1.5808739859999996</v>
      </c>
      <c r="Q16" s="1379">
        <v>3.736739E-2</v>
      </c>
      <c r="R16" s="1379">
        <v>0</v>
      </c>
      <c r="S16" s="1379">
        <v>0</v>
      </c>
      <c r="T16" s="1306">
        <f t="shared" si="1"/>
        <v>1.6182413759999996</v>
      </c>
      <c r="U16" s="1380"/>
      <c r="V16" s="1380"/>
      <c r="W16" s="1380"/>
      <c r="X16" s="1380"/>
      <c r="Y16" s="1380"/>
      <c r="Z16" s="1380"/>
      <c r="AA16" s="1380"/>
      <c r="AB16" s="1380"/>
      <c r="AC16" s="1381">
        <v>0.98035008375727273</v>
      </c>
      <c r="AD16" s="1381">
        <v>1.003456696346031</v>
      </c>
      <c r="AE16" s="1381"/>
      <c r="AF16" s="1381"/>
      <c r="AG16" s="1382"/>
      <c r="AH16" s="1382"/>
      <c r="AI16" s="1382"/>
      <c r="AJ16" s="1360">
        <v>1.2435247559999998</v>
      </c>
      <c r="AK16" s="1383">
        <v>0.37471662</v>
      </c>
      <c r="AL16" s="1383">
        <v>0</v>
      </c>
      <c r="AM16" s="1383">
        <v>0</v>
      </c>
      <c r="AN16" s="1306">
        <f t="shared" si="2"/>
        <v>1.6182413759999998</v>
      </c>
      <c r="AO16" s="1384">
        <v>0</v>
      </c>
      <c r="AP16" s="1384"/>
      <c r="AQ16" s="1384"/>
      <c r="AR16" s="1384"/>
      <c r="AS16" s="1384"/>
      <c r="AT16" s="1384"/>
      <c r="AU16" s="1384"/>
      <c r="AV16" s="1384"/>
      <c r="AW16" s="1384">
        <v>0</v>
      </c>
      <c r="AX16" s="995"/>
      <c r="AY16" s="1377" t="s">
        <v>906</v>
      </c>
    </row>
    <row r="17" spans="1:51" ht="29" outlineLevel="1" x14ac:dyDescent="0.25">
      <c r="A17" s="1162">
        <v>5.3</v>
      </c>
      <c r="B17" s="1370" t="s">
        <v>920</v>
      </c>
      <c r="C17" s="1308" t="s">
        <v>898</v>
      </c>
      <c r="D17" s="1162" t="str">
        <f t="shared" si="5"/>
        <v>MERC/CAPEX/20162017/01745</v>
      </c>
      <c r="E17" s="1309">
        <f t="shared" si="5"/>
        <v>42689</v>
      </c>
      <c r="F17" s="983">
        <f t="shared" si="6"/>
        <v>42825</v>
      </c>
      <c r="G17" s="1004">
        <v>1.4279109999999999</v>
      </c>
      <c r="H17" s="1004">
        <v>1.427</v>
      </c>
      <c r="I17" s="996"/>
      <c r="J17" s="996"/>
      <c r="K17" s="983">
        <f t="shared" si="0"/>
        <v>42825</v>
      </c>
      <c r="L17" s="1371">
        <v>43070</v>
      </c>
      <c r="M17" s="1371">
        <v>43132</v>
      </c>
      <c r="N17" s="1378">
        <v>43374</v>
      </c>
      <c r="O17" s="1372" t="s">
        <v>891</v>
      </c>
      <c r="P17" s="1360">
        <v>0.43233593000000009</v>
      </c>
      <c r="Q17" s="1379">
        <v>0.140487365</v>
      </c>
      <c r="R17" s="1379">
        <v>0</v>
      </c>
      <c r="S17" s="1379">
        <v>0</v>
      </c>
      <c r="T17" s="1306">
        <f t="shared" si="1"/>
        <v>0.57282329500000007</v>
      </c>
      <c r="U17" s="1380"/>
      <c r="V17" s="1380"/>
      <c r="W17" s="1380"/>
      <c r="X17" s="1380"/>
      <c r="Y17" s="1380"/>
      <c r="Z17" s="1380"/>
      <c r="AA17" s="1380"/>
      <c r="AB17" s="1380"/>
      <c r="AC17" s="1381">
        <v>0.78217113409794436</v>
      </c>
      <c r="AD17" s="1381">
        <v>1</v>
      </c>
      <c r="AE17" s="1381"/>
      <c r="AF17" s="1381"/>
      <c r="AG17" s="1382"/>
      <c r="AH17" s="1382"/>
      <c r="AI17" s="1382"/>
      <c r="AJ17" s="1360">
        <v>0</v>
      </c>
      <c r="AK17" s="1383">
        <v>0.27952248499999999</v>
      </c>
      <c r="AL17" s="1383">
        <v>0.29330081000000002</v>
      </c>
      <c r="AM17" s="1383">
        <v>0</v>
      </c>
      <c r="AN17" s="1306">
        <f t="shared" si="2"/>
        <v>0.57282329500000007</v>
      </c>
      <c r="AO17" s="1384">
        <v>0</v>
      </c>
      <c r="AP17" s="1384"/>
      <c r="AQ17" s="1384"/>
      <c r="AR17" s="1384"/>
      <c r="AS17" s="1384"/>
      <c r="AT17" s="1384"/>
      <c r="AU17" s="1384"/>
      <c r="AV17" s="1384"/>
      <c r="AW17" s="1384">
        <v>0</v>
      </c>
      <c r="AX17" s="995"/>
      <c r="AY17" s="1377" t="s">
        <v>906</v>
      </c>
    </row>
    <row r="18" spans="1:51" ht="29" outlineLevel="1" x14ac:dyDescent="0.25">
      <c r="A18" s="1162">
        <v>5.4</v>
      </c>
      <c r="B18" s="1370" t="s">
        <v>921</v>
      </c>
      <c r="C18" s="1308" t="s">
        <v>898</v>
      </c>
      <c r="D18" s="1162" t="str">
        <f t="shared" si="5"/>
        <v>MERC/CAPEX/20162017/01745</v>
      </c>
      <c r="E18" s="1309">
        <f t="shared" si="5"/>
        <v>42689</v>
      </c>
      <c r="F18" s="983">
        <f t="shared" si="6"/>
        <v>42825</v>
      </c>
      <c r="G18" s="1004">
        <v>6.6813292000000004</v>
      </c>
      <c r="H18" s="1004">
        <v>6.681</v>
      </c>
      <c r="I18" s="996"/>
      <c r="J18" s="996"/>
      <c r="K18" s="983">
        <f t="shared" si="0"/>
        <v>42825</v>
      </c>
      <c r="L18" s="1371">
        <v>43040</v>
      </c>
      <c r="M18" s="1371">
        <v>43132</v>
      </c>
      <c r="N18" s="1378">
        <v>45174</v>
      </c>
      <c r="O18" s="1372" t="s">
        <v>892</v>
      </c>
      <c r="P18" s="1360">
        <v>3.851533147</v>
      </c>
      <c r="Q18" s="1379">
        <v>0.22897436899999998</v>
      </c>
      <c r="R18" s="1379">
        <v>0</v>
      </c>
      <c r="S18" s="1379">
        <v>0.71988743600000005</v>
      </c>
      <c r="T18" s="1306">
        <f t="shared" si="1"/>
        <v>4.8003949519999995</v>
      </c>
      <c r="U18" s="1380"/>
      <c r="V18" s="1380">
        <v>2.7556813719999997</v>
      </c>
      <c r="W18" s="1380"/>
      <c r="X18" s="1380"/>
      <c r="Y18" s="1380"/>
      <c r="Z18" s="1380"/>
      <c r="AA18" s="1380"/>
      <c r="AB18" s="1380"/>
      <c r="AC18" s="1381">
        <v>0.79676206262592575</v>
      </c>
      <c r="AD18" s="1381">
        <v>0.84441936957963859</v>
      </c>
      <c r="AE18" s="1381">
        <v>0.84441936957963859</v>
      </c>
      <c r="AF18" s="1381">
        <v>1.0033861166139901</v>
      </c>
      <c r="AG18" s="1382"/>
      <c r="AH18" s="1382"/>
      <c r="AI18" s="1382"/>
      <c r="AJ18" s="1360">
        <v>2.78223164</v>
      </c>
      <c r="AK18" s="1383">
        <v>0.90666524800000003</v>
      </c>
      <c r="AL18" s="1383">
        <v>0.39161062799999996</v>
      </c>
      <c r="AM18" s="1383">
        <v>0.71988743600000005</v>
      </c>
      <c r="AN18" s="1306">
        <f t="shared" si="2"/>
        <v>4.8003949519999995</v>
      </c>
      <c r="AO18" s="1384"/>
      <c r="AP18" s="1385">
        <v>2.7556813719999997</v>
      </c>
      <c r="AQ18" s="1384"/>
      <c r="AR18" s="1384"/>
      <c r="AS18" s="1384"/>
      <c r="AT18" s="1384"/>
      <c r="AU18" s="1384"/>
      <c r="AV18" s="1384"/>
      <c r="AW18" s="1384">
        <v>0</v>
      </c>
      <c r="AX18" s="995"/>
      <c r="AY18" s="1377" t="s">
        <v>906</v>
      </c>
    </row>
    <row r="19" spans="1:51" ht="30" customHeight="1" outlineLevel="1" x14ac:dyDescent="0.25">
      <c r="A19" s="1155">
        <v>14</v>
      </c>
      <c r="B19" s="1303" t="s">
        <v>922</v>
      </c>
      <c r="C19" s="1155" t="s">
        <v>896</v>
      </c>
      <c r="D19" s="1155" t="s">
        <v>923</v>
      </c>
      <c r="E19" s="1364">
        <v>43494</v>
      </c>
      <c r="F19" s="1365">
        <v>44029</v>
      </c>
      <c r="G19" s="1001">
        <f>SUM(G20:G23)</f>
        <v>1.9079999999999999</v>
      </c>
      <c r="H19" s="1001">
        <f>SUM(H20:H23)</f>
        <v>1.9079999999999999</v>
      </c>
      <c r="I19" s="999"/>
      <c r="J19" s="999"/>
      <c r="K19" s="1000">
        <f t="shared" si="0"/>
        <v>44029</v>
      </c>
      <c r="L19" s="999"/>
      <c r="M19" s="999"/>
      <c r="N19" s="999"/>
      <c r="O19" s="999"/>
      <c r="P19" s="1306"/>
      <c r="Q19" s="1306"/>
      <c r="R19" s="1306"/>
      <c r="S19" s="1306"/>
      <c r="T19" s="1306">
        <f t="shared" si="1"/>
        <v>0</v>
      </c>
      <c r="U19" s="1366"/>
      <c r="V19" s="1366"/>
      <c r="W19" s="1366"/>
      <c r="X19" s="1366"/>
      <c r="Y19" s="1366"/>
      <c r="Z19" s="1366"/>
      <c r="AA19" s="1366"/>
      <c r="AB19" s="1366"/>
      <c r="AC19" s="1367"/>
      <c r="AD19" s="1368"/>
      <c r="AE19" s="1368"/>
      <c r="AF19" s="1368"/>
      <c r="AG19" s="1368"/>
      <c r="AH19" s="1368"/>
      <c r="AI19" s="1368"/>
      <c r="AJ19" s="1306"/>
      <c r="AK19" s="1306"/>
      <c r="AL19" s="1306"/>
      <c r="AM19" s="1306"/>
      <c r="AN19" s="1306">
        <f t="shared" si="2"/>
        <v>0</v>
      </c>
      <c r="AO19" s="1366"/>
      <c r="AP19" s="1386"/>
      <c r="AQ19" s="1384"/>
      <c r="AR19" s="1384"/>
      <c r="AS19" s="1384"/>
      <c r="AT19" s="1384"/>
      <c r="AU19" s="1384"/>
      <c r="AV19" s="1384"/>
      <c r="AW19" s="1366"/>
      <c r="AX19" s="998"/>
      <c r="AY19" s="1369" t="s">
        <v>909</v>
      </c>
    </row>
    <row r="20" spans="1:51" ht="43.5" outlineLevel="1" x14ac:dyDescent="0.25">
      <c r="A20" s="1162">
        <v>14.1</v>
      </c>
      <c r="B20" s="1370" t="s">
        <v>1498</v>
      </c>
      <c r="C20" s="1308" t="s">
        <v>898</v>
      </c>
      <c r="D20" s="1162" t="str">
        <f>D19</f>
        <v>MERC/CAPEX/2020-21/WFH/SBR/ 19</v>
      </c>
      <c r="E20" s="1309">
        <f>E19</f>
        <v>43494</v>
      </c>
      <c r="F20" s="983">
        <f>IF(F19=0,"-",F19)</f>
        <v>44029</v>
      </c>
      <c r="G20" s="1003">
        <v>0.39500000000000002</v>
      </c>
      <c r="H20" s="1003">
        <v>0.39500000000000002</v>
      </c>
      <c r="I20" s="996"/>
      <c r="J20" s="996"/>
      <c r="K20" s="983">
        <f t="shared" si="0"/>
        <v>44029</v>
      </c>
      <c r="L20" s="1371">
        <v>44470</v>
      </c>
      <c r="M20" s="1371">
        <v>44136</v>
      </c>
      <c r="N20" s="1371">
        <v>44691</v>
      </c>
      <c r="O20" s="1372" t="s">
        <v>1465</v>
      </c>
      <c r="P20" s="1360">
        <v>0</v>
      </c>
      <c r="Q20" s="1379">
        <v>0</v>
      </c>
      <c r="R20" s="1379">
        <v>0</v>
      </c>
      <c r="S20" s="1379">
        <v>0</v>
      </c>
      <c r="T20" s="1306">
        <f t="shared" si="1"/>
        <v>0</v>
      </c>
      <c r="U20" s="1380">
        <v>0.26762399999999997</v>
      </c>
      <c r="V20" s="1380"/>
      <c r="W20" s="1380"/>
      <c r="X20" s="1380"/>
      <c r="Y20" s="1380"/>
      <c r="Z20" s="1380"/>
      <c r="AA20" s="1380"/>
      <c r="AB20" s="1380"/>
      <c r="AC20" s="1381"/>
      <c r="AD20" s="1382"/>
      <c r="AE20" s="1382"/>
      <c r="AF20" s="1382"/>
      <c r="AG20" s="1381">
        <v>1</v>
      </c>
      <c r="AH20" s="1382"/>
      <c r="AI20" s="1382"/>
      <c r="AJ20" s="1360">
        <v>0</v>
      </c>
      <c r="AK20" s="1383">
        <v>0</v>
      </c>
      <c r="AL20" s="1383">
        <v>0</v>
      </c>
      <c r="AM20" s="1383">
        <v>0</v>
      </c>
      <c r="AN20" s="1306">
        <f t="shared" si="2"/>
        <v>0</v>
      </c>
      <c r="AO20" s="1380">
        <v>0.26762399999999997</v>
      </c>
      <c r="AP20" s="1385"/>
      <c r="AQ20" s="1384"/>
      <c r="AR20" s="1384"/>
      <c r="AS20" s="1384"/>
      <c r="AT20" s="1384"/>
      <c r="AU20" s="1384"/>
      <c r="AV20" s="1384"/>
      <c r="AW20" s="1384"/>
      <c r="AX20" s="995"/>
      <c r="AY20" s="1377" t="s">
        <v>906</v>
      </c>
    </row>
    <row r="21" spans="1:51" ht="43.5" outlineLevel="1" x14ac:dyDescent="0.25">
      <c r="A21" s="1387">
        <v>14.3</v>
      </c>
      <c r="B21" s="1370" t="s">
        <v>924</v>
      </c>
      <c r="C21" s="1308" t="s">
        <v>898</v>
      </c>
      <c r="D21" s="1162" t="str">
        <f>D20</f>
        <v>MERC/CAPEX/2020-21/WFH/SBR/ 19</v>
      </c>
      <c r="E21" s="1309">
        <f>E20</f>
        <v>43494</v>
      </c>
      <c r="F21" s="983">
        <f>IF(F20=0,"-",F20)</f>
        <v>44029</v>
      </c>
      <c r="G21" s="1003">
        <v>0.10199999999999999</v>
      </c>
      <c r="H21" s="1003">
        <v>0.10199999999999999</v>
      </c>
      <c r="I21" s="996"/>
      <c r="J21" s="996"/>
      <c r="K21" s="983">
        <f t="shared" si="0"/>
        <v>44029</v>
      </c>
      <c r="L21" s="1371">
        <v>44166</v>
      </c>
      <c r="M21" s="1371">
        <v>44239</v>
      </c>
      <c r="N21" s="1371" t="s">
        <v>899</v>
      </c>
      <c r="O21" s="1372" t="s">
        <v>1464</v>
      </c>
      <c r="P21" s="1360">
        <v>0</v>
      </c>
      <c r="Q21" s="1379">
        <v>0</v>
      </c>
      <c r="R21" s="1379">
        <v>9.6156000000000005E-2</v>
      </c>
      <c r="S21" s="1379">
        <v>0</v>
      </c>
      <c r="T21" s="1306">
        <f t="shared" si="1"/>
        <v>9.6156000000000005E-2</v>
      </c>
      <c r="U21" s="1380"/>
      <c r="V21" s="1380"/>
      <c r="W21" s="1380"/>
      <c r="X21" s="1380"/>
      <c r="Y21" s="1380"/>
      <c r="Z21" s="1380"/>
      <c r="AA21" s="1380"/>
      <c r="AB21" s="1380"/>
      <c r="AC21" s="1381"/>
      <c r="AD21" s="1382"/>
      <c r="AE21" s="1382"/>
      <c r="AF21" s="1381">
        <v>0.7</v>
      </c>
      <c r="AG21" s="1381">
        <v>1</v>
      </c>
      <c r="AH21" s="1382"/>
      <c r="AI21" s="1382"/>
      <c r="AJ21" s="1360">
        <v>0</v>
      </c>
      <c r="AK21" s="1383">
        <v>0</v>
      </c>
      <c r="AL21" s="1383">
        <v>0</v>
      </c>
      <c r="AM21" s="1383">
        <v>0</v>
      </c>
      <c r="AN21" s="1306">
        <f t="shared" si="2"/>
        <v>0</v>
      </c>
      <c r="AO21" s="1384">
        <v>7.969248000000001E-2</v>
      </c>
      <c r="AP21" s="1385"/>
      <c r="AQ21" s="1384"/>
      <c r="AR21" s="1384"/>
      <c r="AS21" s="1384"/>
      <c r="AT21" s="1384"/>
      <c r="AU21" s="1384"/>
      <c r="AV21" s="1384"/>
      <c r="AW21" s="1384"/>
      <c r="AX21" s="995"/>
      <c r="AY21" s="1369" t="s">
        <v>899</v>
      </c>
    </row>
    <row r="22" spans="1:51" ht="29" outlineLevel="1" x14ac:dyDescent="0.25">
      <c r="A22" s="1162">
        <v>14.4</v>
      </c>
      <c r="B22" s="1370" t="s">
        <v>925</v>
      </c>
      <c r="C22" s="1308" t="s">
        <v>898</v>
      </c>
      <c r="D22" s="1162" t="str">
        <f t="shared" ref="D22:E23" si="7">D21</f>
        <v>MERC/CAPEX/2020-21/WFH/SBR/ 19</v>
      </c>
      <c r="E22" s="1309">
        <f t="shared" si="7"/>
        <v>43494</v>
      </c>
      <c r="F22" s="983">
        <f t="shared" ref="F22:F23" si="8">IF(F21=0,"-",F21)</f>
        <v>44029</v>
      </c>
      <c r="G22" s="1003">
        <v>0.56100000000000005</v>
      </c>
      <c r="H22" s="1003">
        <v>0.56100000000000005</v>
      </c>
      <c r="I22" s="996"/>
      <c r="J22" s="996"/>
      <c r="K22" s="983">
        <f t="shared" si="0"/>
        <v>44029</v>
      </c>
      <c r="L22" s="1371"/>
      <c r="M22" s="1371">
        <v>42644</v>
      </c>
      <c r="N22" s="1371">
        <v>44256</v>
      </c>
      <c r="O22" s="1372" t="s">
        <v>893</v>
      </c>
      <c r="P22" s="1360">
        <v>0</v>
      </c>
      <c r="Q22" s="1379">
        <v>0</v>
      </c>
      <c r="R22" s="1379">
        <v>0.2723912</v>
      </c>
      <c r="S22" s="1379"/>
      <c r="T22" s="1306">
        <f t="shared" si="1"/>
        <v>0.2723912</v>
      </c>
      <c r="U22" s="1380"/>
      <c r="V22" s="1380"/>
      <c r="W22" s="1380"/>
      <c r="X22" s="1380"/>
      <c r="Y22" s="1380"/>
      <c r="Z22" s="1380"/>
      <c r="AA22" s="1380"/>
      <c r="AB22" s="1380"/>
      <c r="AC22" s="1381"/>
      <c r="AD22" s="1382"/>
      <c r="AE22" s="1381">
        <v>1</v>
      </c>
      <c r="AF22" s="1381"/>
      <c r="AG22" s="1382"/>
      <c r="AH22" s="1382"/>
      <c r="AI22" s="1382"/>
      <c r="AJ22" s="1360">
        <v>0</v>
      </c>
      <c r="AK22" s="1383">
        <v>0</v>
      </c>
      <c r="AL22" s="1383">
        <v>0.2723912</v>
      </c>
      <c r="AM22" s="1383"/>
      <c r="AN22" s="1306">
        <f t="shared" si="2"/>
        <v>0.2723912</v>
      </c>
      <c r="AO22" s="1384"/>
      <c r="AP22" s="1385"/>
      <c r="AQ22" s="1384"/>
      <c r="AR22" s="1384"/>
      <c r="AS22" s="1384"/>
      <c r="AT22" s="1384"/>
      <c r="AU22" s="1384"/>
      <c r="AV22" s="1384"/>
      <c r="AW22" s="1384"/>
      <c r="AX22" s="995"/>
      <c r="AY22" s="1369" t="s">
        <v>906</v>
      </c>
    </row>
    <row r="23" spans="1:51" outlineLevel="1" x14ac:dyDescent="0.25">
      <c r="A23" s="1162"/>
      <c r="B23" s="1370" t="s">
        <v>419</v>
      </c>
      <c r="C23" s="1308" t="s">
        <v>419</v>
      </c>
      <c r="D23" s="1162" t="str">
        <f t="shared" si="7"/>
        <v>MERC/CAPEX/2020-21/WFH/SBR/ 19</v>
      </c>
      <c r="E23" s="1309">
        <f t="shared" si="7"/>
        <v>43494</v>
      </c>
      <c r="F23" s="983">
        <f t="shared" si="8"/>
        <v>44029</v>
      </c>
      <c r="G23" s="1003">
        <v>0.85</v>
      </c>
      <c r="H23" s="1003">
        <v>0.85</v>
      </c>
      <c r="I23" s="996"/>
      <c r="J23" s="996"/>
      <c r="K23" s="983">
        <f t="shared" si="0"/>
        <v>44029</v>
      </c>
      <c r="L23" s="996"/>
      <c r="M23" s="996"/>
      <c r="N23" s="996"/>
      <c r="P23" s="1360">
        <v>0</v>
      </c>
      <c r="Q23" s="1379"/>
      <c r="R23" s="1379"/>
      <c r="S23" s="1379"/>
      <c r="T23" s="1306">
        <f t="shared" si="1"/>
        <v>0</v>
      </c>
      <c r="U23" s="1380"/>
      <c r="V23" s="1380"/>
      <c r="W23" s="1380"/>
      <c r="X23" s="1380"/>
      <c r="Y23" s="1380"/>
      <c r="Z23" s="1380"/>
      <c r="AA23" s="1380"/>
      <c r="AB23" s="1380"/>
      <c r="AC23" s="1381"/>
      <c r="AD23" s="1382"/>
      <c r="AE23" s="1382"/>
      <c r="AF23" s="1382"/>
      <c r="AG23" s="1382"/>
      <c r="AH23" s="1382"/>
      <c r="AI23" s="1382"/>
      <c r="AJ23" s="1360">
        <v>0</v>
      </c>
      <c r="AK23" s="1383"/>
      <c r="AL23" s="1383"/>
      <c r="AM23" s="1383"/>
      <c r="AN23" s="1306">
        <f t="shared" si="2"/>
        <v>0</v>
      </c>
      <c r="AO23" s="1384"/>
      <c r="AP23" s="1385"/>
      <c r="AQ23" s="1384"/>
      <c r="AR23" s="1384"/>
      <c r="AS23" s="1384"/>
      <c r="AT23" s="1384"/>
      <c r="AU23" s="1384"/>
      <c r="AV23" s="1384"/>
      <c r="AW23" s="1384"/>
      <c r="AX23" s="995"/>
      <c r="AY23" s="1369" t="s">
        <v>909</v>
      </c>
    </row>
    <row r="24" spans="1:51" ht="29" outlineLevel="1" x14ac:dyDescent="0.25">
      <c r="A24" s="1155">
        <v>16</v>
      </c>
      <c r="B24" s="1303" t="s">
        <v>926</v>
      </c>
      <c r="C24" s="1155" t="s">
        <v>896</v>
      </c>
      <c r="D24" s="1155" t="s">
        <v>927</v>
      </c>
      <c r="E24" s="1364">
        <v>43762</v>
      </c>
      <c r="F24" s="1365">
        <v>44037</v>
      </c>
      <c r="G24" s="1001">
        <f>SUM(G25:G30)</f>
        <v>10.861000000000001</v>
      </c>
      <c r="H24" s="1001">
        <f>SUM(H25:H30)</f>
        <v>10.861000000000001</v>
      </c>
      <c r="I24" s="999"/>
      <c r="J24" s="999"/>
      <c r="K24" s="1000">
        <f t="shared" si="0"/>
        <v>44037</v>
      </c>
      <c r="L24" s="999"/>
      <c r="M24" s="999"/>
      <c r="N24" s="999"/>
      <c r="O24" s="999"/>
      <c r="P24" s="1306"/>
      <c r="Q24" s="1306"/>
      <c r="R24" s="1306"/>
      <c r="S24" s="1306"/>
      <c r="T24" s="1306">
        <f t="shared" si="1"/>
        <v>0</v>
      </c>
      <c r="U24" s="1366"/>
      <c r="V24" s="1366"/>
      <c r="W24" s="1366"/>
      <c r="X24" s="1366"/>
      <c r="Y24" s="1366"/>
      <c r="Z24" s="1366"/>
      <c r="AA24" s="1366"/>
      <c r="AB24" s="1366"/>
      <c r="AC24" s="1367"/>
      <c r="AD24" s="1368"/>
      <c r="AE24" s="1368"/>
      <c r="AF24" s="1368"/>
      <c r="AG24" s="1368"/>
      <c r="AH24" s="1368"/>
      <c r="AI24" s="1368"/>
      <c r="AJ24" s="1306"/>
      <c r="AK24" s="1306"/>
      <c r="AL24" s="1306"/>
      <c r="AM24" s="1306"/>
      <c r="AN24" s="1306">
        <f t="shared" si="2"/>
        <v>0</v>
      </c>
      <c r="AO24" s="1366"/>
      <c r="AP24" s="1386"/>
      <c r="AQ24" s="1384"/>
      <c r="AR24" s="1384"/>
      <c r="AS24" s="1384"/>
      <c r="AT24" s="1384"/>
      <c r="AU24" s="1384"/>
      <c r="AV24" s="1384"/>
      <c r="AW24" s="1366"/>
      <c r="AX24" s="998"/>
      <c r="AY24" s="1369" t="s">
        <v>909</v>
      </c>
    </row>
    <row r="25" spans="1:51" ht="30" customHeight="1" outlineLevel="1" x14ac:dyDescent="0.25">
      <c r="A25" s="1162">
        <v>16.100000000000001</v>
      </c>
      <c r="B25" s="1370" t="s">
        <v>928</v>
      </c>
      <c r="C25" s="1308" t="s">
        <v>898</v>
      </c>
      <c r="D25" s="1162" t="str">
        <f>D24</f>
        <v>MERC/CAPEX/2020-2021/WFH/ SBR/22</v>
      </c>
      <c r="E25" s="1309">
        <f>E24</f>
        <v>43762</v>
      </c>
      <c r="F25" s="983">
        <f>IF(F24=0,"-",F24)</f>
        <v>44037</v>
      </c>
      <c r="G25" s="1003">
        <v>0.95099999999999996</v>
      </c>
      <c r="H25" s="1003">
        <v>0.95099999999999996</v>
      </c>
      <c r="I25" s="996"/>
      <c r="J25" s="996"/>
      <c r="K25" s="983">
        <f t="shared" si="0"/>
        <v>44037</v>
      </c>
      <c r="L25" s="996"/>
      <c r="M25" s="1371">
        <v>43921</v>
      </c>
      <c r="N25" s="1371" t="s">
        <v>899</v>
      </c>
      <c r="O25" s="1372" t="s">
        <v>894</v>
      </c>
      <c r="P25" s="1360">
        <v>0</v>
      </c>
      <c r="Q25" s="1379">
        <v>0</v>
      </c>
      <c r="R25" s="1379">
        <v>0</v>
      </c>
      <c r="S25" s="1379">
        <v>0</v>
      </c>
      <c r="T25" s="1306">
        <f t="shared" si="1"/>
        <v>0</v>
      </c>
      <c r="U25" s="1380"/>
      <c r="V25" s="1380"/>
      <c r="W25" s="1380">
        <v>0.13</v>
      </c>
      <c r="X25" s="1380">
        <v>0.48</v>
      </c>
      <c r="Y25" s="1380"/>
      <c r="Z25" s="1380"/>
      <c r="AA25" s="1380"/>
      <c r="AB25" s="1380"/>
      <c r="AC25" s="1381"/>
      <c r="AD25" s="1382"/>
      <c r="AE25" s="1382"/>
      <c r="AF25" s="1382"/>
      <c r="AG25" s="1381">
        <v>1</v>
      </c>
      <c r="AH25" s="1382"/>
      <c r="AI25" s="1382"/>
      <c r="AJ25" s="1360">
        <v>0</v>
      </c>
      <c r="AK25" s="1383"/>
      <c r="AL25" s="1383"/>
      <c r="AM25" s="1383"/>
      <c r="AN25" s="1306">
        <f t="shared" si="2"/>
        <v>0</v>
      </c>
      <c r="AO25" s="1384"/>
      <c r="AP25" s="1385"/>
      <c r="AQ25" s="1380">
        <v>0.13</v>
      </c>
      <c r="AR25" s="1384">
        <v>0.48</v>
      </c>
      <c r="AS25" s="1384"/>
      <c r="AT25" s="1384"/>
      <c r="AU25" s="1384"/>
      <c r="AV25" s="1384"/>
      <c r="AW25" s="1384"/>
      <c r="AX25" s="995"/>
      <c r="AY25" s="1369" t="s">
        <v>899</v>
      </c>
    </row>
    <row r="26" spans="1:51" ht="45" customHeight="1" outlineLevel="1" x14ac:dyDescent="0.25">
      <c r="A26" s="1162">
        <v>16.2</v>
      </c>
      <c r="B26" s="1370" t="s">
        <v>1497</v>
      </c>
      <c r="C26" s="1308" t="s">
        <v>898</v>
      </c>
      <c r="D26" s="1162" t="str">
        <f t="shared" ref="D26:E30" si="9">D25</f>
        <v>MERC/CAPEX/2020-2021/WFH/ SBR/22</v>
      </c>
      <c r="E26" s="1309">
        <f t="shared" si="9"/>
        <v>43762</v>
      </c>
      <c r="F26" s="983">
        <f>IF(F25=0,"-",F25)</f>
        <v>44037</v>
      </c>
      <c r="G26" s="1003">
        <v>0.29199999999999998</v>
      </c>
      <c r="H26" s="1003">
        <v>0.29199999999999998</v>
      </c>
      <c r="I26" s="996"/>
      <c r="J26" s="996"/>
      <c r="K26" s="983">
        <f t="shared" si="0"/>
        <v>44037</v>
      </c>
      <c r="L26" s="996"/>
      <c r="M26" s="1371">
        <v>44286</v>
      </c>
      <c r="N26" s="1371">
        <v>44621</v>
      </c>
      <c r="O26" s="1372" t="s">
        <v>1463</v>
      </c>
      <c r="P26" s="1360">
        <v>0</v>
      </c>
      <c r="Q26" s="1379">
        <v>0</v>
      </c>
      <c r="R26" s="1379">
        <v>0</v>
      </c>
      <c r="S26" s="1379">
        <v>0.25256440000000002</v>
      </c>
      <c r="T26" s="1306">
        <f t="shared" si="1"/>
        <v>0.25256440000000002</v>
      </c>
      <c r="U26" s="1380"/>
      <c r="V26" s="1380"/>
      <c r="W26" s="1380"/>
      <c r="X26" s="1380"/>
      <c r="Y26" s="1380"/>
      <c r="Z26" s="1380"/>
      <c r="AA26" s="1380"/>
      <c r="AB26" s="1380"/>
      <c r="AC26" s="1381"/>
      <c r="AD26" s="1382"/>
      <c r="AE26" s="1382"/>
      <c r="AF26" s="1381">
        <v>1</v>
      </c>
      <c r="AG26" s="1382"/>
      <c r="AH26" s="1382"/>
      <c r="AI26" s="1382"/>
      <c r="AJ26" s="1360">
        <v>0</v>
      </c>
      <c r="AK26" s="1383"/>
      <c r="AL26" s="1383"/>
      <c r="AM26" s="1383">
        <v>0.25256440000000002</v>
      </c>
      <c r="AN26" s="1306">
        <f t="shared" si="2"/>
        <v>0.25256440000000002</v>
      </c>
      <c r="AO26" s="1384"/>
      <c r="AP26" s="1385"/>
      <c r="AQ26" s="1380"/>
      <c r="AR26" s="1384"/>
      <c r="AS26" s="1384"/>
      <c r="AT26" s="1384"/>
      <c r="AU26" s="1384"/>
      <c r="AV26" s="1384"/>
      <c r="AW26" s="1384"/>
      <c r="AX26" s="995"/>
      <c r="AY26" s="1369" t="s">
        <v>906</v>
      </c>
    </row>
    <row r="27" spans="1:51" ht="45" customHeight="1" outlineLevel="1" x14ac:dyDescent="0.25">
      <c r="A27" s="1162">
        <v>16.399999999999999</v>
      </c>
      <c r="B27" s="1370" t="s">
        <v>929</v>
      </c>
      <c r="C27" s="1308" t="s">
        <v>898</v>
      </c>
      <c r="D27" s="1162" t="str">
        <f t="shared" si="9"/>
        <v>MERC/CAPEX/2020-2021/WFH/ SBR/22</v>
      </c>
      <c r="E27" s="1309">
        <f t="shared" si="9"/>
        <v>43762</v>
      </c>
      <c r="F27" s="983">
        <f>IF(F26=0,"-",F26)</f>
        <v>44037</v>
      </c>
      <c r="G27" s="997">
        <v>0.89999999999999991</v>
      </c>
      <c r="H27" s="997">
        <v>0.89999999999999991</v>
      </c>
      <c r="I27" s="996"/>
      <c r="J27" s="996"/>
      <c r="K27" s="983">
        <f t="shared" si="0"/>
        <v>44037</v>
      </c>
      <c r="L27" s="996"/>
      <c r="M27" s="1371">
        <v>44286</v>
      </c>
      <c r="N27" s="1371">
        <v>45329</v>
      </c>
      <c r="O27" s="1372" t="s">
        <v>895</v>
      </c>
      <c r="P27" s="1360">
        <v>0</v>
      </c>
      <c r="Q27" s="1379">
        <v>0</v>
      </c>
      <c r="R27" s="1379">
        <v>0</v>
      </c>
      <c r="S27" s="1379">
        <v>0</v>
      </c>
      <c r="T27" s="1306">
        <f t="shared" si="1"/>
        <v>0</v>
      </c>
      <c r="U27" s="1380"/>
      <c r="V27" s="1380">
        <v>0.35828399999999999</v>
      </c>
      <c r="W27" s="1380"/>
      <c r="X27" s="1380"/>
      <c r="Y27" s="1380"/>
      <c r="Z27" s="1380"/>
      <c r="AA27" s="1380"/>
      <c r="AB27" s="1380"/>
      <c r="AC27" s="1381"/>
      <c r="AD27" s="1382"/>
      <c r="AE27" s="1382"/>
      <c r="AF27" s="1382"/>
      <c r="AG27" s="1381">
        <v>1</v>
      </c>
      <c r="AH27" s="1382"/>
      <c r="AI27" s="1382"/>
      <c r="AJ27" s="1360">
        <v>0</v>
      </c>
      <c r="AK27" s="1383">
        <v>0</v>
      </c>
      <c r="AL27" s="1383">
        <v>0</v>
      </c>
      <c r="AM27" s="1383">
        <v>0</v>
      </c>
      <c r="AN27" s="1306">
        <f t="shared" si="2"/>
        <v>0</v>
      </c>
      <c r="AO27" s="1380"/>
      <c r="AP27" s="1384">
        <v>0.35828399999999999</v>
      </c>
      <c r="AQ27" s="1380"/>
      <c r="AR27" s="1384"/>
      <c r="AS27" s="1384"/>
      <c r="AT27" s="1384"/>
      <c r="AU27" s="1384"/>
      <c r="AV27" s="1384"/>
      <c r="AW27" s="1384"/>
      <c r="AX27" s="995"/>
      <c r="AY27" s="1369" t="s">
        <v>906</v>
      </c>
    </row>
    <row r="28" spans="1:51" ht="43.5" outlineLevel="1" x14ac:dyDescent="0.25">
      <c r="A28" s="1162">
        <v>16.5</v>
      </c>
      <c r="B28" s="1370" t="s">
        <v>1496</v>
      </c>
      <c r="C28" s="1308" t="s">
        <v>898</v>
      </c>
      <c r="D28" s="1162" t="str">
        <f t="shared" si="9"/>
        <v>MERC/CAPEX/2020-2021/WFH/ SBR/22</v>
      </c>
      <c r="E28" s="1309">
        <f t="shared" si="9"/>
        <v>43762</v>
      </c>
      <c r="F28" s="983">
        <f t="shared" ref="F28:F30" si="10">IF(F27=0,"-",F27)</f>
        <v>44037</v>
      </c>
      <c r="G28" s="997">
        <v>4.657</v>
      </c>
      <c r="H28" s="997">
        <v>4.657</v>
      </c>
      <c r="I28" s="996"/>
      <c r="J28" s="996"/>
      <c r="K28" s="983">
        <f t="shared" si="0"/>
        <v>44037</v>
      </c>
      <c r="L28" s="1002">
        <v>44562</v>
      </c>
      <c r="M28" s="1371">
        <v>43555</v>
      </c>
      <c r="N28" s="1371">
        <v>44776</v>
      </c>
      <c r="O28" s="1372" t="s">
        <v>1462</v>
      </c>
      <c r="P28" s="1360">
        <v>0</v>
      </c>
      <c r="Q28" s="1379"/>
      <c r="R28" s="1379">
        <v>0.20885999999999999</v>
      </c>
      <c r="S28" s="1379">
        <v>2.8097333999999998</v>
      </c>
      <c r="T28" s="1306">
        <f t="shared" si="1"/>
        <v>3.0185933999999999</v>
      </c>
      <c r="U28" s="1380">
        <v>1.4337</v>
      </c>
      <c r="V28" s="1380">
        <v>0.120743736</v>
      </c>
      <c r="W28" s="1380"/>
      <c r="X28" s="1380"/>
      <c r="Y28" s="1380"/>
      <c r="Z28" s="1380"/>
      <c r="AA28" s="1380"/>
      <c r="AB28" s="1380"/>
      <c r="AC28" s="1381"/>
      <c r="AD28" s="1382"/>
      <c r="AE28" s="1382"/>
      <c r="AF28" s="1382"/>
      <c r="AG28" s="1381">
        <v>1</v>
      </c>
      <c r="AH28" s="1382"/>
      <c r="AI28" s="1382"/>
      <c r="AJ28" s="1360">
        <v>0</v>
      </c>
      <c r="AK28" s="1383">
        <v>0</v>
      </c>
      <c r="AL28" s="1383">
        <v>0</v>
      </c>
      <c r="AM28" s="1383">
        <v>0</v>
      </c>
      <c r="AN28" s="1306">
        <f t="shared" si="2"/>
        <v>0</v>
      </c>
      <c r="AO28" s="1384">
        <v>4.4592022</v>
      </c>
      <c r="AP28" s="1384">
        <v>0.120743736</v>
      </c>
      <c r="AQ28" s="1380"/>
      <c r="AR28" s="1384"/>
      <c r="AS28" s="1384"/>
      <c r="AT28" s="1384"/>
      <c r="AU28" s="1384"/>
      <c r="AV28" s="1384"/>
      <c r="AW28" s="1384"/>
      <c r="AX28" s="995"/>
      <c r="AY28" s="1369" t="s">
        <v>906</v>
      </c>
    </row>
    <row r="29" spans="1:51" ht="58" outlineLevel="1" x14ac:dyDescent="0.25">
      <c r="A29" s="1162">
        <v>16.600000000000001</v>
      </c>
      <c r="B29" s="1370" t="s">
        <v>1495</v>
      </c>
      <c r="C29" s="1308" t="s">
        <v>898</v>
      </c>
      <c r="D29" s="1162" t="str">
        <f t="shared" si="9"/>
        <v>MERC/CAPEX/2020-2021/WFH/ SBR/22</v>
      </c>
      <c r="E29" s="1309">
        <f t="shared" si="9"/>
        <v>43762</v>
      </c>
      <c r="F29" s="983">
        <f t="shared" si="10"/>
        <v>44037</v>
      </c>
      <c r="G29" s="997">
        <v>3.6220000000000003</v>
      </c>
      <c r="H29" s="997">
        <v>3.6220000000000003</v>
      </c>
      <c r="I29" s="996"/>
      <c r="J29" s="996"/>
      <c r="K29" s="983">
        <f t="shared" si="0"/>
        <v>44037</v>
      </c>
      <c r="L29" s="996"/>
      <c r="M29" s="1371">
        <v>43555</v>
      </c>
      <c r="N29" s="1371" t="s">
        <v>899</v>
      </c>
      <c r="O29" s="1372" t="s">
        <v>1461</v>
      </c>
      <c r="P29" s="1360">
        <v>0</v>
      </c>
      <c r="Q29" s="1379">
        <v>0</v>
      </c>
      <c r="R29" s="1379">
        <v>0</v>
      </c>
      <c r="S29" s="1379">
        <v>0</v>
      </c>
      <c r="T29" s="1306">
        <f t="shared" si="1"/>
        <v>0</v>
      </c>
      <c r="U29" s="1380"/>
      <c r="V29" s="1380">
        <v>0.53395000000000004</v>
      </c>
      <c r="W29" s="1380">
        <v>1.6</v>
      </c>
      <c r="X29" s="1380"/>
      <c r="Y29" s="1380"/>
      <c r="Z29" s="1380"/>
      <c r="AA29" s="1380"/>
      <c r="AB29" s="1380"/>
      <c r="AC29" s="1381"/>
      <c r="AD29" s="1382"/>
      <c r="AE29" s="1382"/>
      <c r="AF29" s="1382"/>
      <c r="AG29" s="1381">
        <v>1</v>
      </c>
      <c r="AH29" s="1382"/>
      <c r="AI29" s="1382"/>
      <c r="AJ29" s="1360">
        <v>0</v>
      </c>
      <c r="AK29" s="1383">
        <v>0</v>
      </c>
      <c r="AL29" s="1383">
        <v>0</v>
      </c>
      <c r="AM29" s="1383">
        <v>0</v>
      </c>
      <c r="AN29" s="1306">
        <f t="shared" si="2"/>
        <v>0</v>
      </c>
      <c r="AO29" s="1384"/>
      <c r="AP29" s="1384">
        <v>0.53395000000000004</v>
      </c>
      <c r="AQ29" s="1380">
        <v>1.6</v>
      </c>
      <c r="AR29" s="1384"/>
      <c r="AS29" s="1384"/>
      <c r="AT29" s="1384"/>
      <c r="AU29" s="1384"/>
      <c r="AV29" s="1384"/>
      <c r="AW29" s="1384"/>
      <c r="AX29" s="995"/>
      <c r="AY29" s="1369" t="s">
        <v>899</v>
      </c>
    </row>
    <row r="30" spans="1:51" outlineLevel="1" x14ac:dyDescent="0.25">
      <c r="A30" s="1162"/>
      <c r="B30" s="1370" t="s">
        <v>419</v>
      </c>
      <c r="C30" s="1308" t="s">
        <v>419</v>
      </c>
      <c r="D30" s="1162" t="str">
        <f t="shared" si="9"/>
        <v>MERC/CAPEX/2020-2021/WFH/ SBR/22</v>
      </c>
      <c r="E30" s="1309">
        <f t="shared" si="9"/>
        <v>43762</v>
      </c>
      <c r="F30" s="983">
        <f t="shared" si="10"/>
        <v>44037</v>
      </c>
      <c r="G30" s="997">
        <v>0.439</v>
      </c>
      <c r="H30" s="997">
        <v>0.439</v>
      </c>
      <c r="I30" s="996"/>
      <c r="J30" s="996"/>
      <c r="K30" s="983">
        <f t="shared" si="0"/>
        <v>44037</v>
      </c>
      <c r="L30" s="996"/>
      <c r="M30" s="996"/>
      <c r="N30" s="996"/>
      <c r="O30" s="996"/>
      <c r="P30" s="1360">
        <v>0</v>
      </c>
      <c r="Q30" s="1379"/>
      <c r="R30" s="1379"/>
      <c r="S30" s="1379"/>
      <c r="T30" s="1306">
        <f t="shared" si="1"/>
        <v>0</v>
      </c>
      <c r="U30" s="1380"/>
      <c r="V30" s="1380"/>
      <c r="W30" s="1380"/>
      <c r="X30" s="1380"/>
      <c r="Y30" s="1380"/>
      <c r="Z30" s="1380"/>
      <c r="AA30" s="1380"/>
      <c r="AB30" s="1380"/>
      <c r="AC30" s="1381"/>
      <c r="AD30" s="1382"/>
      <c r="AE30" s="1382"/>
      <c r="AF30" s="1382"/>
      <c r="AG30" s="1382"/>
      <c r="AH30" s="1382"/>
      <c r="AI30" s="1382"/>
      <c r="AJ30" s="1360">
        <v>0</v>
      </c>
      <c r="AK30" s="1383"/>
      <c r="AL30" s="1383"/>
      <c r="AM30" s="1383"/>
      <c r="AN30" s="1306">
        <f t="shared" si="2"/>
        <v>0</v>
      </c>
      <c r="AO30" s="1384"/>
      <c r="AP30" s="1384"/>
      <c r="AQ30" s="1380"/>
      <c r="AR30" s="1384"/>
      <c r="AS30" s="1384"/>
      <c r="AT30" s="1384"/>
      <c r="AU30" s="1384"/>
      <c r="AV30" s="1384"/>
      <c r="AW30" s="1384"/>
      <c r="AX30" s="995"/>
      <c r="AY30" s="1369" t="s">
        <v>909</v>
      </c>
    </row>
    <row r="31" spans="1:51" ht="29" outlineLevel="1" x14ac:dyDescent="0.25">
      <c r="A31" s="1155">
        <v>17</v>
      </c>
      <c r="B31" s="1303" t="s">
        <v>1492</v>
      </c>
      <c r="C31" s="1155" t="s">
        <v>896</v>
      </c>
      <c r="D31" s="1155" t="s">
        <v>1494</v>
      </c>
      <c r="E31" s="1364">
        <v>44742</v>
      </c>
      <c r="F31" s="1365"/>
      <c r="G31" s="1001">
        <f>SUM(G32)</f>
        <v>12.33</v>
      </c>
      <c r="H31" s="1001">
        <f>SUM(H32)</f>
        <v>0</v>
      </c>
      <c r="I31" s="999"/>
      <c r="J31" s="999"/>
      <c r="K31" s="1000"/>
      <c r="L31" s="999"/>
      <c r="M31" s="999"/>
      <c r="N31" s="999"/>
      <c r="O31" s="999" t="s">
        <v>1493</v>
      </c>
      <c r="P31" s="1306"/>
      <c r="Q31" s="1306"/>
      <c r="R31" s="1306"/>
      <c r="S31" s="1306"/>
      <c r="T31" s="1306">
        <f t="shared" si="1"/>
        <v>0</v>
      </c>
      <c r="U31" s="1366"/>
      <c r="V31" s="1366"/>
      <c r="W31" s="1366"/>
      <c r="X31" s="1366"/>
      <c r="Y31" s="1366"/>
      <c r="Z31" s="1366"/>
      <c r="AA31" s="1366"/>
      <c r="AB31" s="1366"/>
      <c r="AC31" s="1367"/>
      <c r="AD31" s="1368"/>
      <c r="AE31" s="1368"/>
      <c r="AF31" s="1368"/>
      <c r="AG31" s="1368"/>
      <c r="AH31" s="1368"/>
      <c r="AI31" s="1368"/>
      <c r="AJ31" s="1306"/>
      <c r="AK31" s="1306"/>
      <c r="AL31" s="1306"/>
      <c r="AM31" s="1306"/>
      <c r="AN31" s="1306">
        <f t="shared" si="2"/>
        <v>0</v>
      </c>
      <c r="AO31" s="1366"/>
      <c r="AP31" s="1366"/>
      <c r="AQ31" s="1366"/>
      <c r="AR31" s="1384"/>
      <c r="AS31" s="1384"/>
      <c r="AT31" s="1384"/>
      <c r="AU31" s="1384"/>
      <c r="AV31" s="1384"/>
      <c r="AW31" s="1366"/>
      <c r="AX31" s="998"/>
      <c r="AY31" s="1369" t="s">
        <v>909</v>
      </c>
    </row>
    <row r="32" spans="1:51" ht="43.5" x14ac:dyDescent="0.25">
      <c r="A32" s="1162">
        <v>17.100000000000001</v>
      </c>
      <c r="B32" s="1370" t="s">
        <v>1492</v>
      </c>
      <c r="C32" s="1308" t="s">
        <v>898</v>
      </c>
      <c r="D32" s="1162" t="str">
        <f>D31</f>
        <v xml:space="preserve">Not approved </v>
      </c>
      <c r="E32" s="1309">
        <f>E31</f>
        <v>44742</v>
      </c>
      <c r="F32" s="983" t="str">
        <f>IF(F31=0,"-",F31)</f>
        <v>-</v>
      </c>
      <c r="G32" s="997">
        <v>12.33</v>
      </c>
      <c r="H32" s="997"/>
      <c r="I32" s="996"/>
      <c r="J32" s="996"/>
      <c r="K32" s="983" t="str">
        <f t="shared" ref="K32" si="11">IF(F32=0,"-",F32)</f>
        <v>-</v>
      </c>
      <c r="L32" s="996"/>
      <c r="M32" s="1371"/>
      <c r="N32" s="1371"/>
      <c r="O32" s="1372"/>
      <c r="P32" s="1360"/>
      <c r="Q32" s="1379"/>
      <c r="R32" s="1379"/>
      <c r="S32" s="1379"/>
      <c r="T32" s="1306">
        <f t="shared" si="1"/>
        <v>0</v>
      </c>
      <c r="U32" s="1380">
        <v>12.06</v>
      </c>
      <c r="V32" s="1380"/>
      <c r="W32" s="1380"/>
      <c r="X32" s="1380"/>
      <c r="Y32" s="1380"/>
      <c r="Z32" s="1380"/>
      <c r="AA32" s="1380"/>
      <c r="AB32" s="1380"/>
      <c r="AC32" s="1381"/>
      <c r="AD32" s="1382"/>
      <c r="AE32" s="1382"/>
      <c r="AF32" s="1382"/>
      <c r="AG32" s="1381"/>
      <c r="AH32" s="1382"/>
      <c r="AI32" s="1382"/>
      <c r="AJ32" s="1360"/>
      <c r="AK32" s="1383"/>
      <c r="AL32" s="1383"/>
      <c r="AM32" s="1383"/>
      <c r="AN32" s="1306">
        <f t="shared" si="2"/>
        <v>0</v>
      </c>
      <c r="AO32" s="1384"/>
      <c r="AP32" s="1384"/>
      <c r="AQ32" s="1380"/>
      <c r="AR32" s="1384"/>
      <c r="AS32" s="1384"/>
      <c r="AT32" s="1384"/>
      <c r="AU32" s="1384"/>
      <c r="AV32" s="1384"/>
      <c r="AW32" s="1384"/>
      <c r="AX32" s="995"/>
      <c r="AY32" s="1369" t="s">
        <v>909</v>
      </c>
    </row>
    <row r="33" spans="1:51" x14ac:dyDescent="0.25">
      <c r="A33" s="984"/>
      <c r="B33" s="1302" t="s">
        <v>930</v>
      </c>
      <c r="C33" s="984"/>
      <c r="D33" s="984"/>
      <c r="E33" s="982"/>
      <c r="F33" s="983"/>
      <c r="G33" s="981"/>
      <c r="H33" s="981"/>
      <c r="I33" s="981"/>
      <c r="J33" s="981"/>
      <c r="K33" s="982"/>
      <c r="L33" s="981"/>
      <c r="M33" s="981"/>
      <c r="N33" s="981"/>
      <c r="O33" s="981"/>
      <c r="P33" s="1360"/>
      <c r="Q33" s="1388"/>
      <c r="R33" s="1388"/>
      <c r="S33" s="1388"/>
      <c r="T33" s="1306">
        <f t="shared" si="1"/>
        <v>0</v>
      </c>
      <c r="U33" s="1389"/>
      <c r="V33" s="1389"/>
      <c r="W33" s="1389"/>
      <c r="X33" s="1389"/>
      <c r="Y33" s="1389"/>
      <c r="Z33" s="1389"/>
      <c r="AA33" s="1389"/>
      <c r="AB33" s="1389"/>
      <c r="AC33" s="1390"/>
      <c r="AD33" s="1391"/>
      <c r="AE33" s="1391"/>
      <c r="AF33" s="1391"/>
      <c r="AG33" s="1391"/>
      <c r="AH33" s="1391"/>
      <c r="AI33" s="1391"/>
      <c r="AJ33" s="1392"/>
      <c r="AK33" s="1179"/>
      <c r="AL33" s="1179"/>
      <c r="AM33" s="1179"/>
      <c r="AN33" s="1306">
        <f t="shared" si="2"/>
        <v>0</v>
      </c>
      <c r="AO33" s="1393"/>
      <c r="AP33" s="1393"/>
      <c r="AQ33" s="1389"/>
      <c r="AR33" s="1393"/>
      <c r="AS33" s="1393"/>
      <c r="AT33" s="1393"/>
      <c r="AU33" s="1393"/>
      <c r="AV33" s="1393"/>
      <c r="AW33" s="1393"/>
      <c r="AX33" s="1394"/>
      <c r="AY33" s="1395"/>
    </row>
    <row r="34" spans="1:51" s="988" customFormat="1" outlineLevel="1" x14ac:dyDescent="0.25">
      <c r="A34" s="1396">
        <v>1</v>
      </c>
      <c r="B34" s="1397" t="s">
        <v>1491</v>
      </c>
      <c r="C34" s="1396"/>
      <c r="D34" s="1396" t="str">
        <f>B33</f>
        <v>(ii) Yet to be submitted to MERC</v>
      </c>
      <c r="E34" s="1398"/>
      <c r="F34" s="1399"/>
      <c r="G34" s="994"/>
      <c r="H34" s="994"/>
      <c r="I34" s="989"/>
      <c r="J34" s="989"/>
      <c r="K34" s="990"/>
      <c r="L34" s="989"/>
      <c r="M34" s="989"/>
      <c r="N34" s="989"/>
      <c r="O34" s="989"/>
      <c r="P34" s="1400"/>
      <c r="Q34" s="1400"/>
      <c r="R34" s="1400"/>
      <c r="S34" s="1400"/>
      <c r="T34" s="1401">
        <f t="shared" si="1"/>
        <v>0</v>
      </c>
      <c r="U34" s="1400"/>
      <c r="V34" s="1400"/>
      <c r="W34" s="1400"/>
      <c r="X34" s="1400"/>
      <c r="Y34" s="1400"/>
      <c r="Z34" s="1400"/>
      <c r="AA34" s="1400"/>
      <c r="AB34" s="1400"/>
      <c r="AC34" s="1402"/>
      <c r="AD34" s="1403"/>
      <c r="AE34" s="1403"/>
      <c r="AF34" s="1403"/>
      <c r="AG34" s="1403"/>
      <c r="AH34" s="1403"/>
      <c r="AI34" s="1403"/>
      <c r="AJ34" s="1400"/>
      <c r="AK34" s="1400"/>
      <c r="AL34" s="1400"/>
      <c r="AM34" s="1400"/>
      <c r="AN34" s="1401">
        <f t="shared" si="2"/>
        <v>0</v>
      </c>
      <c r="AO34" s="1400"/>
      <c r="AP34" s="1400"/>
      <c r="AQ34" s="1400"/>
      <c r="AR34" s="1400"/>
      <c r="AS34" s="1400"/>
      <c r="AT34" s="1400"/>
      <c r="AU34" s="1400"/>
      <c r="AV34" s="1400"/>
      <c r="AW34" s="1400"/>
      <c r="AX34" s="989"/>
      <c r="AY34" s="993"/>
    </row>
    <row r="35" spans="1:51" s="988" customFormat="1" ht="43.5" outlineLevel="1" x14ac:dyDescent="0.25">
      <c r="A35" s="1404">
        <v>1.1000000000000001</v>
      </c>
      <c r="B35" s="1405" t="s">
        <v>1490</v>
      </c>
      <c r="C35" s="1406"/>
      <c r="D35" s="1404" t="str">
        <f>D34</f>
        <v>(ii) Yet to be submitted to MERC</v>
      </c>
      <c r="E35" s="1407"/>
      <c r="F35" s="992"/>
      <c r="G35" s="1408">
        <v>4.5</v>
      </c>
      <c r="H35" s="991"/>
      <c r="I35" s="989"/>
      <c r="J35" s="989"/>
      <c r="K35" s="990"/>
      <c r="L35" s="989"/>
      <c r="M35" s="1409"/>
      <c r="N35" s="989"/>
      <c r="O35" s="1410" t="s">
        <v>1672</v>
      </c>
      <c r="P35" s="1411"/>
      <c r="Q35" s="1412">
        <v>0</v>
      </c>
      <c r="R35" s="1412">
        <v>0</v>
      </c>
      <c r="S35" s="1412">
        <v>0</v>
      </c>
      <c r="T35" s="1401">
        <f t="shared" si="1"/>
        <v>0</v>
      </c>
      <c r="U35" s="1412"/>
      <c r="V35" s="1412"/>
      <c r="W35" s="1412"/>
      <c r="X35" s="1412">
        <v>4.5</v>
      </c>
      <c r="Y35" s="1412"/>
      <c r="Z35" s="1412"/>
      <c r="AA35" s="1412"/>
      <c r="AB35" s="1412"/>
      <c r="AC35" s="1402"/>
      <c r="AD35" s="1403"/>
      <c r="AE35" s="1403"/>
      <c r="AF35" s="1403"/>
      <c r="AG35" s="1403"/>
      <c r="AH35" s="1412"/>
      <c r="AI35" s="1403"/>
      <c r="AJ35" s="1411"/>
      <c r="AK35" s="1412">
        <v>0</v>
      </c>
      <c r="AL35" s="1412">
        <v>0</v>
      </c>
      <c r="AM35" s="1412">
        <v>0</v>
      </c>
      <c r="AN35" s="1401">
        <f t="shared" si="2"/>
        <v>0</v>
      </c>
      <c r="AO35" s="1413"/>
      <c r="AP35" s="1413">
        <f>SUM(O35:V35)-SUM(AI35:AM35)</f>
        <v>0</v>
      </c>
      <c r="AQ35" s="1412"/>
      <c r="AR35" s="1413">
        <v>4.5</v>
      </c>
      <c r="AS35" s="1413"/>
      <c r="AT35" s="1413"/>
      <c r="AU35" s="1413"/>
      <c r="AV35" s="1413"/>
      <c r="AW35" s="1413"/>
      <c r="AX35" s="989"/>
      <c r="AY35" s="1414" t="s">
        <v>897</v>
      </c>
    </row>
    <row r="36" spans="1:51" s="988" customFormat="1" ht="58" outlineLevel="1" x14ac:dyDescent="0.25">
      <c r="A36" s="1404">
        <v>1.2</v>
      </c>
      <c r="B36" s="1405" t="s">
        <v>1489</v>
      </c>
      <c r="C36" s="1406"/>
      <c r="D36" s="1404" t="str">
        <f>D35</f>
        <v>(ii) Yet to be submitted to MERC</v>
      </c>
      <c r="E36" s="1407"/>
      <c r="F36" s="992"/>
      <c r="G36" s="1408">
        <v>18.79</v>
      </c>
      <c r="H36" s="991"/>
      <c r="I36" s="989"/>
      <c r="J36" s="989"/>
      <c r="K36" s="990"/>
      <c r="L36" s="989"/>
      <c r="M36" s="1409"/>
      <c r="N36" s="989"/>
      <c r="O36" s="1410" t="s">
        <v>1673</v>
      </c>
      <c r="P36" s="1411"/>
      <c r="Q36" s="1412">
        <v>0</v>
      </c>
      <c r="R36" s="1412">
        <v>0</v>
      </c>
      <c r="S36" s="1412">
        <v>0</v>
      </c>
      <c r="T36" s="1401">
        <f t="shared" si="1"/>
        <v>0</v>
      </c>
      <c r="U36" s="1412"/>
      <c r="V36" s="1412"/>
      <c r="W36" s="1412"/>
      <c r="X36" s="1415"/>
      <c r="Y36" s="1412">
        <v>18.79</v>
      </c>
      <c r="Z36" s="1412"/>
      <c r="AA36" s="1412"/>
      <c r="AB36" s="1412"/>
      <c r="AC36" s="1402"/>
      <c r="AD36" s="1403"/>
      <c r="AE36" s="1403"/>
      <c r="AF36" s="1403"/>
      <c r="AG36" s="1403"/>
      <c r="AH36" s="1412"/>
      <c r="AI36" s="1403"/>
      <c r="AJ36" s="1411"/>
      <c r="AK36" s="1412">
        <v>0</v>
      </c>
      <c r="AL36" s="1412">
        <v>0</v>
      </c>
      <c r="AM36" s="1412">
        <v>0</v>
      </c>
      <c r="AN36" s="1401">
        <f t="shared" si="2"/>
        <v>0</v>
      </c>
      <c r="AO36" s="1413"/>
      <c r="AP36" s="1413">
        <f>SUM(O36:V36)-SUM(AI36:AM36)</f>
        <v>0</v>
      </c>
      <c r="AQ36" s="1412"/>
      <c r="AR36" s="1413"/>
      <c r="AS36" s="1413">
        <v>18.79</v>
      </c>
      <c r="AT36" s="1413"/>
      <c r="AU36" s="1413"/>
      <c r="AV36" s="1413"/>
      <c r="AW36" s="1413"/>
      <c r="AX36" s="989"/>
      <c r="AY36" s="1414" t="s">
        <v>897</v>
      </c>
    </row>
    <row r="37" spans="1:51" s="988" customFormat="1" ht="58" outlineLevel="1" x14ac:dyDescent="0.25">
      <c r="A37" s="1404">
        <v>1.3</v>
      </c>
      <c r="B37" s="1416" t="s">
        <v>1488</v>
      </c>
      <c r="C37" s="1406"/>
      <c r="D37" s="1404" t="str">
        <f>D36</f>
        <v>(ii) Yet to be submitted to MERC</v>
      </c>
      <c r="E37" s="1407"/>
      <c r="F37" s="992"/>
      <c r="G37" s="1408">
        <v>14.35</v>
      </c>
      <c r="H37" s="991"/>
      <c r="I37" s="989"/>
      <c r="J37" s="989"/>
      <c r="K37" s="990"/>
      <c r="L37" s="989"/>
      <c r="M37" s="1409"/>
      <c r="N37" s="989"/>
      <c r="O37" s="1410" t="s">
        <v>1673</v>
      </c>
      <c r="P37" s="1411"/>
      <c r="Q37" s="1412">
        <v>0</v>
      </c>
      <c r="R37" s="1412">
        <v>0</v>
      </c>
      <c r="S37" s="1412">
        <v>0</v>
      </c>
      <c r="T37" s="1401">
        <f t="shared" si="1"/>
        <v>0</v>
      </c>
      <c r="U37" s="1412"/>
      <c r="V37" s="1412"/>
      <c r="W37" s="1412"/>
      <c r="X37" s="1415"/>
      <c r="Y37" s="1412">
        <v>14.35</v>
      </c>
      <c r="Z37" s="1412"/>
      <c r="AA37" s="1412"/>
      <c r="AB37" s="1412"/>
      <c r="AC37" s="1402"/>
      <c r="AD37" s="1403"/>
      <c r="AE37" s="1403"/>
      <c r="AF37" s="1403"/>
      <c r="AG37" s="1403"/>
      <c r="AH37" s="1412"/>
      <c r="AI37" s="1403"/>
      <c r="AJ37" s="1411"/>
      <c r="AK37" s="1412">
        <v>0</v>
      </c>
      <c r="AL37" s="1412">
        <v>0</v>
      </c>
      <c r="AM37" s="1412">
        <v>0</v>
      </c>
      <c r="AN37" s="1401">
        <f t="shared" si="2"/>
        <v>0</v>
      </c>
      <c r="AO37" s="1413"/>
      <c r="AP37" s="1413">
        <f>SUM(O37:V37)-SUM(AI37:AM37)</f>
        <v>0</v>
      </c>
      <c r="AQ37" s="1412"/>
      <c r="AR37" s="1413"/>
      <c r="AS37" s="1413">
        <v>14.35</v>
      </c>
      <c r="AT37" s="1413"/>
      <c r="AU37" s="1413"/>
      <c r="AV37" s="1413"/>
      <c r="AW37" s="1413"/>
      <c r="AX37" s="989"/>
      <c r="AY37" s="1414" t="s">
        <v>897</v>
      </c>
    </row>
    <row r="38" spans="1:51" s="988" customFormat="1" ht="43.5" outlineLevel="1" x14ac:dyDescent="0.25">
      <c r="A38" s="1404">
        <v>1.4</v>
      </c>
      <c r="B38" s="1405" t="s">
        <v>1487</v>
      </c>
      <c r="C38" s="1406"/>
      <c r="D38" s="1404" t="str">
        <f>D37</f>
        <v>(ii) Yet to be submitted to MERC</v>
      </c>
      <c r="E38" s="1407"/>
      <c r="F38" s="992"/>
      <c r="G38" s="1408">
        <v>6.74</v>
      </c>
      <c r="H38" s="991"/>
      <c r="I38" s="989"/>
      <c r="J38" s="989"/>
      <c r="K38" s="990"/>
      <c r="L38" s="989"/>
      <c r="M38" s="1409"/>
      <c r="N38" s="989"/>
      <c r="O38" s="1410" t="s">
        <v>1672</v>
      </c>
      <c r="P38" s="1411"/>
      <c r="Q38" s="1412">
        <v>0</v>
      </c>
      <c r="R38" s="1412">
        <v>0</v>
      </c>
      <c r="S38" s="1412">
        <v>0</v>
      </c>
      <c r="T38" s="1401">
        <f t="shared" si="1"/>
        <v>0</v>
      </c>
      <c r="U38" s="1412"/>
      <c r="V38" s="1412"/>
      <c r="W38" s="1412"/>
      <c r="X38" s="1412">
        <v>6.74</v>
      </c>
      <c r="Y38" s="1415"/>
      <c r="Z38" s="1412"/>
      <c r="AA38" s="1412"/>
      <c r="AB38" s="1412"/>
      <c r="AC38" s="1402"/>
      <c r="AD38" s="1403"/>
      <c r="AE38" s="1403"/>
      <c r="AF38" s="1403"/>
      <c r="AG38" s="1403"/>
      <c r="AH38" s="1412"/>
      <c r="AI38" s="1403"/>
      <c r="AJ38" s="1411"/>
      <c r="AK38" s="1412">
        <v>0</v>
      </c>
      <c r="AL38" s="1412">
        <v>0</v>
      </c>
      <c r="AM38" s="1412">
        <v>0</v>
      </c>
      <c r="AN38" s="1401">
        <f t="shared" si="2"/>
        <v>0</v>
      </c>
      <c r="AO38" s="1413"/>
      <c r="AP38" s="1413">
        <f>SUM(O38:V38)-SUM(AI38:AM38)</f>
        <v>0</v>
      </c>
      <c r="AQ38" s="1412"/>
      <c r="AR38" s="1413">
        <v>6.74</v>
      </c>
      <c r="AS38" s="1413"/>
      <c r="AT38" s="1413"/>
      <c r="AU38" s="1413"/>
      <c r="AV38" s="1413"/>
      <c r="AW38" s="1413"/>
      <c r="AX38" s="989"/>
      <c r="AY38" s="1414" t="s">
        <v>897</v>
      </c>
    </row>
    <row r="39" spans="1:51" s="988" customFormat="1" ht="58" outlineLevel="1" x14ac:dyDescent="0.25">
      <c r="A39" s="1404">
        <v>1.5</v>
      </c>
      <c r="B39" s="1405" t="s">
        <v>1486</v>
      </c>
      <c r="C39" s="1406"/>
      <c r="D39" s="1404" t="str">
        <f>D38</f>
        <v>(ii) Yet to be submitted to MERC</v>
      </c>
      <c r="E39" s="1407"/>
      <c r="F39" s="992"/>
      <c r="G39" s="1408">
        <v>7.22</v>
      </c>
      <c r="H39" s="991"/>
      <c r="I39" s="989"/>
      <c r="J39" s="989"/>
      <c r="K39" s="990"/>
      <c r="L39" s="989"/>
      <c r="M39" s="989"/>
      <c r="N39" s="989"/>
      <c r="O39" s="1410" t="s">
        <v>1461</v>
      </c>
      <c r="P39" s="1411"/>
      <c r="Q39" s="1412"/>
      <c r="R39" s="1412"/>
      <c r="S39" s="1412"/>
      <c r="T39" s="1401">
        <f t="shared" si="1"/>
        <v>0</v>
      </c>
      <c r="U39" s="1412"/>
      <c r="V39" s="1412"/>
      <c r="W39" s="1412"/>
      <c r="X39" s="1412">
        <v>7.22</v>
      </c>
      <c r="Y39" s="1415"/>
      <c r="Z39" s="1412"/>
      <c r="AA39" s="1412"/>
      <c r="AB39" s="1412"/>
      <c r="AC39" s="1402"/>
      <c r="AD39" s="1403"/>
      <c r="AE39" s="1403"/>
      <c r="AF39" s="1403"/>
      <c r="AG39" s="1403"/>
      <c r="AH39" s="1412"/>
      <c r="AI39" s="1403"/>
      <c r="AJ39" s="1411"/>
      <c r="AK39" s="1413"/>
      <c r="AL39" s="1413"/>
      <c r="AM39" s="1413"/>
      <c r="AN39" s="1401">
        <f t="shared" si="2"/>
        <v>0</v>
      </c>
      <c r="AO39" s="1413"/>
      <c r="AP39" s="1413">
        <f>SUM(O39:V39)-SUM(AI39:AM39)</f>
        <v>0</v>
      </c>
      <c r="AQ39" s="1412"/>
      <c r="AR39" s="1413">
        <v>7.22</v>
      </c>
      <c r="AS39" s="1413"/>
      <c r="AT39" s="1413"/>
      <c r="AU39" s="1413"/>
      <c r="AV39" s="1413"/>
      <c r="AW39" s="1413"/>
      <c r="AX39" s="989"/>
      <c r="AY39" s="1414" t="s">
        <v>897</v>
      </c>
    </row>
    <row r="40" spans="1:51" s="988" customFormat="1" ht="15.5" outlineLevel="1" x14ac:dyDescent="0.25">
      <c r="A40" s="1404"/>
      <c r="B40" s="1397" t="s">
        <v>1485</v>
      </c>
      <c r="C40" s="1406"/>
      <c r="D40" s="1404"/>
      <c r="E40" s="1407"/>
      <c r="F40" s="992"/>
      <c r="G40" s="1408"/>
      <c r="H40" s="991"/>
      <c r="I40" s="989"/>
      <c r="J40" s="989"/>
      <c r="K40" s="990"/>
      <c r="L40" s="989"/>
      <c r="M40" s="989"/>
      <c r="N40" s="989"/>
      <c r="O40" s="1410"/>
      <c r="P40" s="1411"/>
      <c r="Q40" s="1412"/>
      <c r="R40" s="1412"/>
      <c r="S40" s="1412"/>
      <c r="T40" s="1401">
        <f t="shared" si="1"/>
        <v>0</v>
      </c>
      <c r="U40" s="1412"/>
      <c r="V40" s="1412"/>
      <c r="W40" s="1412"/>
      <c r="X40" s="1412"/>
      <c r="Y40" s="1412"/>
      <c r="Z40" s="1412"/>
      <c r="AA40" s="1412"/>
      <c r="AB40" s="1412"/>
      <c r="AC40" s="1402"/>
      <c r="AD40" s="1403"/>
      <c r="AE40" s="1403"/>
      <c r="AF40" s="1403"/>
      <c r="AG40" s="1403"/>
      <c r="AH40" s="1412"/>
      <c r="AI40" s="1403"/>
      <c r="AJ40" s="1411"/>
      <c r="AK40" s="1413"/>
      <c r="AL40" s="1413"/>
      <c r="AM40" s="1413"/>
      <c r="AN40" s="1401">
        <f t="shared" si="2"/>
        <v>0</v>
      </c>
      <c r="AO40" s="1413"/>
      <c r="AP40" s="1413"/>
      <c r="AQ40" s="1412"/>
      <c r="AR40" s="1413"/>
      <c r="AS40" s="1413"/>
      <c r="AT40" s="1413"/>
      <c r="AU40" s="1413"/>
      <c r="AV40" s="1413"/>
      <c r="AW40" s="1413"/>
      <c r="AX40" s="989"/>
      <c r="AY40" s="1414"/>
    </row>
    <row r="41" spans="1:51" s="988" customFormat="1" ht="58" outlineLevel="1" x14ac:dyDescent="0.25">
      <c r="A41" s="1404"/>
      <c r="B41" s="1405" t="s">
        <v>1484</v>
      </c>
      <c r="C41" s="1406"/>
      <c r="D41" s="1404" t="s">
        <v>930</v>
      </c>
      <c r="E41" s="1407"/>
      <c r="F41" s="992"/>
      <c r="G41" s="1408">
        <v>5.0999999999999996</v>
      </c>
      <c r="H41" s="991"/>
      <c r="I41" s="989"/>
      <c r="J41" s="989"/>
      <c r="K41" s="990"/>
      <c r="L41" s="989"/>
      <c r="M41" s="989"/>
      <c r="N41" s="989"/>
      <c r="O41" s="1410" t="s">
        <v>1674</v>
      </c>
      <c r="P41" s="1411"/>
      <c r="Q41" s="1412"/>
      <c r="R41" s="1412"/>
      <c r="S41" s="1412"/>
      <c r="T41" s="1401">
        <f t="shared" si="1"/>
        <v>0</v>
      </c>
      <c r="U41" s="1412"/>
      <c r="V41" s="1412"/>
      <c r="W41" s="1412"/>
      <c r="X41" s="1412"/>
      <c r="Y41" s="1412"/>
      <c r="Z41" s="1412">
        <v>5.0999999999999996</v>
      </c>
      <c r="AA41" s="1415"/>
      <c r="AB41" s="1412"/>
      <c r="AC41" s="1402"/>
      <c r="AD41" s="1403"/>
      <c r="AE41" s="1403"/>
      <c r="AF41" s="1403"/>
      <c r="AG41" s="1403"/>
      <c r="AH41" s="1412"/>
      <c r="AI41" s="1403"/>
      <c r="AJ41" s="1411"/>
      <c r="AK41" s="1413"/>
      <c r="AL41" s="1413"/>
      <c r="AM41" s="1413"/>
      <c r="AN41" s="1401">
        <f t="shared" si="2"/>
        <v>0</v>
      </c>
      <c r="AO41" s="1413"/>
      <c r="AP41" s="1413"/>
      <c r="AQ41" s="1412"/>
      <c r="AR41" s="1413"/>
      <c r="AS41" s="1413"/>
      <c r="AT41" s="1413">
        <v>5.0999999999999996</v>
      </c>
      <c r="AU41" s="1413"/>
      <c r="AV41" s="1413"/>
      <c r="AW41" s="1413"/>
      <c r="AX41" s="989"/>
      <c r="AY41" s="1414"/>
    </row>
    <row r="42" spans="1:51" s="988" customFormat="1" ht="58" outlineLevel="1" x14ac:dyDescent="0.25">
      <c r="A42" s="1404"/>
      <c r="B42" s="1405" t="s">
        <v>1483</v>
      </c>
      <c r="C42" s="1406"/>
      <c r="D42" s="1404" t="s">
        <v>930</v>
      </c>
      <c r="E42" s="1407"/>
      <c r="F42" s="992"/>
      <c r="G42" s="1408">
        <v>3.12</v>
      </c>
      <c r="H42" s="991"/>
      <c r="I42" s="989"/>
      <c r="J42" s="989"/>
      <c r="K42" s="990"/>
      <c r="L42" s="989"/>
      <c r="M42" s="989"/>
      <c r="N42" s="989"/>
      <c r="O42" s="1410" t="s">
        <v>1673</v>
      </c>
      <c r="P42" s="1411"/>
      <c r="Q42" s="1412"/>
      <c r="R42" s="1412"/>
      <c r="S42" s="1412"/>
      <c r="T42" s="1401">
        <f t="shared" si="1"/>
        <v>0</v>
      </c>
      <c r="U42" s="1412"/>
      <c r="V42" s="1412"/>
      <c r="W42" s="1412"/>
      <c r="X42" s="1412"/>
      <c r="Y42" s="1412"/>
      <c r="Z42" s="1412">
        <v>3.12</v>
      </c>
      <c r="AA42" s="1415"/>
      <c r="AB42" s="1412"/>
      <c r="AC42" s="1402"/>
      <c r="AD42" s="1403"/>
      <c r="AE42" s="1403"/>
      <c r="AF42" s="1403"/>
      <c r="AG42" s="1403"/>
      <c r="AH42" s="1412"/>
      <c r="AI42" s="1403"/>
      <c r="AJ42" s="1411"/>
      <c r="AK42" s="1413"/>
      <c r="AL42" s="1413"/>
      <c r="AM42" s="1413"/>
      <c r="AN42" s="1401">
        <f t="shared" si="2"/>
        <v>0</v>
      </c>
      <c r="AO42" s="1413"/>
      <c r="AP42" s="1413"/>
      <c r="AQ42" s="1412"/>
      <c r="AR42" s="1413"/>
      <c r="AS42" s="1413"/>
      <c r="AT42" s="1413">
        <v>3.12</v>
      </c>
      <c r="AU42" s="1413"/>
      <c r="AV42" s="1413"/>
      <c r="AW42" s="1413"/>
      <c r="AX42" s="989"/>
      <c r="AY42" s="1414"/>
    </row>
    <row r="43" spans="1:51" s="988" customFormat="1" ht="72.5" outlineLevel="1" x14ac:dyDescent="0.25">
      <c r="A43" s="1404"/>
      <c r="B43" s="1405" t="s">
        <v>1482</v>
      </c>
      <c r="C43" s="1406"/>
      <c r="D43" s="1404" t="s">
        <v>930</v>
      </c>
      <c r="E43" s="1407"/>
      <c r="F43" s="992"/>
      <c r="G43" s="1408">
        <v>1</v>
      </c>
      <c r="H43" s="991"/>
      <c r="I43" s="989"/>
      <c r="J43" s="989"/>
      <c r="K43" s="990"/>
      <c r="L43" s="989"/>
      <c r="M43" s="989"/>
      <c r="N43" s="989"/>
      <c r="O43" s="1410" t="s">
        <v>1675</v>
      </c>
      <c r="P43" s="1411"/>
      <c r="Q43" s="1412"/>
      <c r="R43" s="1412"/>
      <c r="S43" s="1412"/>
      <c r="T43" s="1401">
        <f t="shared" si="1"/>
        <v>0</v>
      </c>
      <c r="U43" s="1412"/>
      <c r="V43" s="1412"/>
      <c r="W43" s="1412"/>
      <c r="X43" s="1412"/>
      <c r="Y43" s="1412"/>
      <c r="Z43" s="1412">
        <v>1</v>
      </c>
      <c r="AA43" s="1415"/>
      <c r="AB43" s="1412"/>
      <c r="AC43" s="1402"/>
      <c r="AD43" s="1403"/>
      <c r="AE43" s="1403"/>
      <c r="AF43" s="1403"/>
      <c r="AG43" s="1403"/>
      <c r="AH43" s="1412"/>
      <c r="AI43" s="1403"/>
      <c r="AJ43" s="1411"/>
      <c r="AK43" s="1413"/>
      <c r="AL43" s="1413"/>
      <c r="AM43" s="1413"/>
      <c r="AN43" s="1401">
        <f t="shared" si="2"/>
        <v>0</v>
      </c>
      <c r="AO43" s="1413"/>
      <c r="AP43" s="1413"/>
      <c r="AQ43" s="1412"/>
      <c r="AR43" s="1413"/>
      <c r="AS43" s="1413"/>
      <c r="AT43" s="1413">
        <v>1</v>
      </c>
      <c r="AU43" s="1413"/>
      <c r="AV43" s="1413"/>
      <c r="AW43" s="1413"/>
      <c r="AX43" s="989"/>
      <c r="AY43" s="1414"/>
    </row>
    <row r="44" spans="1:51" s="988" customFormat="1" ht="58" outlineLevel="1" x14ac:dyDescent="0.25">
      <c r="A44" s="1404"/>
      <c r="B44" s="1405" t="s">
        <v>1481</v>
      </c>
      <c r="C44" s="1406"/>
      <c r="D44" s="1404" t="s">
        <v>930</v>
      </c>
      <c r="E44" s="1407"/>
      <c r="F44" s="992"/>
      <c r="G44" s="1408">
        <v>6.22</v>
      </c>
      <c r="H44" s="991"/>
      <c r="I44" s="989"/>
      <c r="J44" s="989"/>
      <c r="K44" s="990"/>
      <c r="L44" s="989"/>
      <c r="M44" s="989"/>
      <c r="N44" s="989"/>
      <c r="O44" s="1410" t="s">
        <v>1673</v>
      </c>
      <c r="P44" s="1411"/>
      <c r="Q44" s="1412"/>
      <c r="R44" s="1412"/>
      <c r="S44" s="1412"/>
      <c r="T44" s="1401">
        <f t="shared" si="1"/>
        <v>0</v>
      </c>
      <c r="U44" s="1412"/>
      <c r="V44" s="1412"/>
      <c r="W44" s="1412"/>
      <c r="X44" s="1412"/>
      <c r="Y44" s="1412"/>
      <c r="Z44" s="1412">
        <v>6.22</v>
      </c>
      <c r="AA44" s="1415"/>
      <c r="AB44" s="1412"/>
      <c r="AC44" s="1402"/>
      <c r="AD44" s="1403"/>
      <c r="AE44" s="1403"/>
      <c r="AF44" s="1403"/>
      <c r="AG44" s="1403"/>
      <c r="AH44" s="1412"/>
      <c r="AI44" s="1403"/>
      <c r="AJ44" s="1411"/>
      <c r="AK44" s="1413"/>
      <c r="AL44" s="1413"/>
      <c r="AM44" s="1413"/>
      <c r="AN44" s="1401">
        <f t="shared" si="2"/>
        <v>0</v>
      </c>
      <c r="AO44" s="1413"/>
      <c r="AP44" s="1413"/>
      <c r="AQ44" s="1412"/>
      <c r="AR44" s="1413"/>
      <c r="AS44" s="1413"/>
      <c r="AT44" s="1413">
        <v>6.22</v>
      </c>
      <c r="AU44" s="1413"/>
      <c r="AV44" s="1413"/>
      <c r="AW44" s="1413"/>
      <c r="AX44" s="989"/>
      <c r="AY44" s="1414"/>
    </row>
    <row r="45" spans="1:51" s="988" customFormat="1" ht="29" outlineLevel="1" x14ac:dyDescent="0.25">
      <c r="A45" s="1404"/>
      <c r="B45" s="1405" t="s">
        <v>1480</v>
      </c>
      <c r="C45" s="1406"/>
      <c r="D45" s="1404" t="s">
        <v>930</v>
      </c>
      <c r="E45" s="1407"/>
      <c r="F45" s="992"/>
      <c r="G45" s="1408">
        <v>10</v>
      </c>
      <c r="H45" s="991"/>
      <c r="I45" s="989"/>
      <c r="J45" s="989"/>
      <c r="K45" s="990"/>
      <c r="L45" s="989"/>
      <c r="M45" s="989"/>
      <c r="N45" s="989"/>
      <c r="O45" s="1410" t="s">
        <v>895</v>
      </c>
      <c r="P45" s="1411"/>
      <c r="Q45" s="1412"/>
      <c r="R45" s="1412"/>
      <c r="S45" s="1412"/>
      <c r="T45" s="1401">
        <f t="shared" si="1"/>
        <v>0</v>
      </c>
      <c r="U45" s="1412"/>
      <c r="V45" s="1412"/>
      <c r="W45" s="1412"/>
      <c r="X45" s="1412"/>
      <c r="Y45" s="1412"/>
      <c r="Z45" s="1412">
        <v>10</v>
      </c>
      <c r="AA45" s="1415"/>
      <c r="AB45" s="1412"/>
      <c r="AC45" s="1402"/>
      <c r="AD45" s="1403"/>
      <c r="AE45" s="1403"/>
      <c r="AF45" s="1403"/>
      <c r="AG45" s="1403"/>
      <c r="AH45" s="1412"/>
      <c r="AI45" s="1403"/>
      <c r="AJ45" s="1411"/>
      <c r="AK45" s="1413"/>
      <c r="AL45" s="1413"/>
      <c r="AM45" s="1413"/>
      <c r="AN45" s="1401">
        <f t="shared" si="2"/>
        <v>0</v>
      </c>
      <c r="AO45" s="1413"/>
      <c r="AP45" s="1413"/>
      <c r="AQ45" s="1412"/>
      <c r="AR45" s="1413"/>
      <c r="AS45" s="1413"/>
      <c r="AT45" s="1413">
        <v>10</v>
      </c>
      <c r="AU45" s="1413"/>
      <c r="AV45" s="1413"/>
      <c r="AW45" s="1413"/>
      <c r="AX45" s="989"/>
      <c r="AY45" s="1414"/>
    </row>
    <row r="46" spans="1:51" s="988" customFormat="1" outlineLevel="1" x14ac:dyDescent="0.25">
      <c r="A46" s="1404">
        <v>1.7</v>
      </c>
      <c r="B46" s="1397" t="s">
        <v>1479</v>
      </c>
      <c r="C46" s="1406"/>
      <c r="D46" s="1404"/>
      <c r="E46" s="1407"/>
      <c r="F46" s="992"/>
      <c r="G46" s="991"/>
      <c r="H46" s="991"/>
      <c r="I46" s="989"/>
      <c r="J46" s="989"/>
      <c r="K46" s="990"/>
      <c r="L46" s="989"/>
      <c r="M46" s="989"/>
      <c r="N46" s="989"/>
      <c r="O46" s="1417"/>
      <c r="P46" s="1411"/>
      <c r="Q46" s="1412"/>
      <c r="R46" s="1412"/>
      <c r="S46" s="1412"/>
      <c r="T46" s="1401">
        <f t="shared" si="1"/>
        <v>0</v>
      </c>
      <c r="U46" s="1412"/>
      <c r="V46" s="1412"/>
      <c r="W46" s="1412"/>
      <c r="X46" s="1412"/>
      <c r="Y46" s="1412"/>
      <c r="Z46" s="1412"/>
      <c r="AA46" s="1412"/>
      <c r="AB46" s="1412"/>
      <c r="AC46" s="1402"/>
      <c r="AD46" s="1403"/>
      <c r="AE46" s="1403"/>
      <c r="AF46" s="1403"/>
      <c r="AG46" s="1403"/>
      <c r="AH46" s="1403"/>
      <c r="AI46" s="1403"/>
      <c r="AJ46" s="1411"/>
      <c r="AK46" s="1413"/>
      <c r="AL46" s="1413"/>
      <c r="AM46" s="1413"/>
      <c r="AN46" s="1401">
        <f t="shared" si="2"/>
        <v>0</v>
      </c>
      <c r="AO46" s="1413"/>
      <c r="AP46" s="1413"/>
      <c r="AQ46" s="1412"/>
      <c r="AR46" s="1413"/>
      <c r="AS46" s="1413"/>
      <c r="AT46" s="1413"/>
      <c r="AU46" s="1413"/>
      <c r="AV46" s="1413"/>
      <c r="AW46" s="1413"/>
      <c r="AX46" s="989"/>
      <c r="AY46" s="1414"/>
    </row>
    <row r="47" spans="1:51" s="988" customFormat="1" ht="29" outlineLevel="1" x14ac:dyDescent="0.25">
      <c r="A47" s="1404"/>
      <c r="B47" s="1416" t="s">
        <v>1478</v>
      </c>
      <c r="C47" s="1406"/>
      <c r="D47" s="1404" t="s">
        <v>930</v>
      </c>
      <c r="E47" s="1407"/>
      <c r="F47" s="992"/>
      <c r="G47" s="991">
        <v>35</v>
      </c>
      <c r="H47" s="991"/>
      <c r="I47" s="989"/>
      <c r="J47" s="989"/>
      <c r="K47" s="990"/>
      <c r="L47" s="989"/>
      <c r="M47" s="989"/>
      <c r="N47" s="989"/>
      <c r="O47" s="1418" t="s">
        <v>895</v>
      </c>
      <c r="P47" s="1411"/>
      <c r="Q47" s="1412"/>
      <c r="R47" s="1412"/>
      <c r="S47" s="1412"/>
      <c r="T47" s="1401">
        <f t="shared" si="1"/>
        <v>0</v>
      </c>
      <c r="U47" s="1412"/>
      <c r="V47" s="1412"/>
      <c r="W47" s="1412"/>
      <c r="X47" s="1412"/>
      <c r="Y47" s="1412"/>
      <c r="Z47" s="1412"/>
      <c r="AA47" s="1412"/>
      <c r="AB47" s="1412">
        <v>35</v>
      </c>
      <c r="AC47" s="1402"/>
      <c r="AD47" s="1403"/>
      <c r="AE47" s="1403"/>
      <c r="AF47" s="1403"/>
      <c r="AG47" s="1403"/>
      <c r="AH47" s="1403"/>
      <c r="AI47" s="1403"/>
      <c r="AJ47" s="1411"/>
      <c r="AK47" s="1413"/>
      <c r="AL47" s="1413"/>
      <c r="AM47" s="1413"/>
      <c r="AN47" s="1401">
        <f t="shared" si="2"/>
        <v>0</v>
      </c>
      <c r="AO47" s="1413"/>
      <c r="AP47" s="1413"/>
      <c r="AQ47" s="1412"/>
      <c r="AR47" s="1413"/>
      <c r="AS47" s="1413"/>
      <c r="AT47" s="1413"/>
      <c r="AU47" s="1413"/>
      <c r="AV47" s="1413">
        <v>35</v>
      </c>
      <c r="AW47" s="1413"/>
      <c r="AX47" s="989"/>
      <c r="AY47" s="1414"/>
    </row>
    <row r="48" spans="1:51" x14ac:dyDescent="0.25">
      <c r="A48" s="987"/>
      <c r="B48" s="974"/>
      <c r="C48" s="987"/>
      <c r="D48" s="987"/>
      <c r="E48" s="975"/>
      <c r="F48" s="977"/>
      <c r="G48" s="974"/>
      <c r="H48" s="974"/>
      <c r="I48" s="974"/>
      <c r="J48" s="974"/>
      <c r="K48" s="975"/>
      <c r="L48" s="974"/>
      <c r="M48" s="974"/>
      <c r="N48" s="974"/>
      <c r="O48" s="974"/>
      <c r="P48" s="1419"/>
      <c r="Q48" s="1420"/>
      <c r="R48" s="1420"/>
      <c r="S48" s="1420"/>
      <c r="T48" s="1401">
        <f t="shared" si="1"/>
        <v>0</v>
      </c>
      <c r="U48" s="1421"/>
      <c r="V48" s="1421"/>
      <c r="W48" s="1421"/>
      <c r="X48" s="1421"/>
      <c r="Y48" s="1421"/>
      <c r="Z48" s="1421"/>
      <c r="AA48" s="1421"/>
      <c r="AB48" s="1421"/>
      <c r="AC48" s="1422"/>
      <c r="AD48" s="1423"/>
      <c r="AE48" s="1423"/>
      <c r="AF48" s="1423"/>
      <c r="AG48" s="1423"/>
      <c r="AH48" s="1423"/>
      <c r="AI48" s="1423"/>
      <c r="AJ48" s="1419"/>
      <c r="AK48" s="1424"/>
      <c r="AL48" s="1424"/>
      <c r="AM48" s="1424"/>
      <c r="AN48" s="1401">
        <f t="shared" si="2"/>
        <v>0</v>
      </c>
      <c r="AO48" s="1425"/>
      <c r="AP48" s="1425"/>
      <c r="AQ48" s="1421"/>
      <c r="AR48" s="1426"/>
      <c r="AS48" s="1426"/>
      <c r="AT48" s="1426"/>
      <c r="AU48" s="1426"/>
      <c r="AV48" s="1426"/>
      <c r="AW48" s="1425"/>
      <c r="AX48" s="986"/>
      <c r="AY48" s="1395"/>
    </row>
    <row r="49" spans="1:51" ht="15" customHeight="1" outlineLevel="1" x14ac:dyDescent="0.25">
      <c r="A49" s="984"/>
      <c r="B49" s="985" t="s">
        <v>931</v>
      </c>
      <c r="C49" s="984"/>
      <c r="D49" s="984"/>
      <c r="E49" s="982"/>
      <c r="F49" s="983"/>
      <c r="G49" s="981"/>
      <c r="H49" s="981"/>
      <c r="I49" s="981"/>
      <c r="J49" s="981"/>
      <c r="K49" s="982"/>
      <c r="L49" s="981"/>
      <c r="M49" s="981"/>
      <c r="N49" s="981"/>
      <c r="O49" s="981"/>
      <c r="P49" s="1360"/>
      <c r="Q49" s="1388"/>
      <c r="R49" s="1388"/>
      <c r="S49" s="1388"/>
      <c r="T49" s="1306">
        <f t="shared" si="1"/>
        <v>0</v>
      </c>
      <c r="U49" s="1389"/>
      <c r="V49" s="1389"/>
      <c r="W49" s="1389"/>
      <c r="X49" s="1389"/>
      <c r="Y49" s="1389"/>
      <c r="Z49" s="1389"/>
      <c r="AA49" s="1389"/>
      <c r="AB49" s="1389"/>
      <c r="AC49" s="1390"/>
      <c r="AD49" s="1391"/>
      <c r="AE49" s="1391"/>
      <c r="AF49" s="1391"/>
      <c r="AG49" s="1391"/>
      <c r="AH49" s="1391"/>
      <c r="AI49" s="1391"/>
      <c r="AJ49" s="1392"/>
      <c r="AK49" s="1179"/>
      <c r="AL49" s="1179"/>
      <c r="AM49" s="1179"/>
      <c r="AN49" s="1306">
        <f t="shared" si="2"/>
        <v>0</v>
      </c>
      <c r="AO49" s="1393"/>
      <c r="AP49" s="1393"/>
      <c r="AQ49" s="1389"/>
      <c r="AR49" s="1384"/>
      <c r="AS49" s="1384"/>
      <c r="AT49" s="1384"/>
      <c r="AU49" s="1384"/>
      <c r="AV49" s="1384"/>
      <c r="AW49" s="1393"/>
      <c r="AX49" s="1394"/>
      <c r="AY49" s="1395"/>
    </row>
    <row r="50" spans="1:51" ht="90" customHeight="1" outlineLevel="1" x14ac:dyDescent="0.25">
      <c r="A50" s="1427">
        <v>1</v>
      </c>
      <c r="B50" s="1428" t="s">
        <v>1477</v>
      </c>
      <c r="C50" s="1429" t="s">
        <v>905</v>
      </c>
      <c r="D50" s="1427" t="s">
        <v>909</v>
      </c>
      <c r="E50" s="1430"/>
      <c r="F50" s="977"/>
      <c r="G50" s="976"/>
      <c r="H50" s="976"/>
      <c r="I50" s="974"/>
      <c r="J50" s="974"/>
      <c r="K50" s="975"/>
      <c r="L50" s="980">
        <v>44896</v>
      </c>
      <c r="M50" s="974"/>
      <c r="N50" s="978">
        <v>45010</v>
      </c>
      <c r="O50" s="979" t="s">
        <v>1476</v>
      </c>
      <c r="P50" s="1419"/>
      <c r="Q50" s="1420">
        <v>0</v>
      </c>
      <c r="R50" s="1420">
        <v>0</v>
      </c>
      <c r="S50" s="1420">
        <v>0</v>
      </c>
      <c r="T50" s="1401">
        <f t="shared" si="1"/>
        <v>0</v>
      </c>
      <c r="U50" s="1431">
        <v>0.1138</v>
      </c>
      <c r="V50" s="1431"/>
      <c r="W50" s="1431"/>
      <c r="X50" s="1431"/>
      <c r="Y50" s="1431"/>
      <c r="Z50" s="1431"/>
      <c r="AA50" s="1431"/>
      <c r="AB50" s="1431"/>
      <c r="AC50" s="1422"/>
      <c r="AD50" s="1423"/>
      <c r="AE50" s="1423"/>
      <c r="AF50" s="1423"/>
      <c r="AG50" s="1423"/>
      <c r="AH50" s="1423"/>
      <c r="AI50" s="1423"/>
      <c r="AJ50" s="1419"/>
      <c r="AK50" s="1420">
        <v>0</v>
      </c>
      <c r="AL50" s="1420">
        <v>0</v>
      </c>
      <c r="AM50" s="1420">
        <v>0</v>
      </c>
      <c r="AN50" s="1401">
        <f t="shared" si="2"/>
        <v>0</v>
      </c>
      <c r="AO50" s="1426">
        <v>0.1138</v>
      </c>
      <c r="AP50" s="1426"/>
      <c r="AQ50" s="1431"/>
      <c r="AR50" s="1426"/>
      <c r="AS50" s="1426"/>
      <c r="AT50" s="1426"/>
      <c r="AU50" s="1426"/>
      <c r="AV50" s="1426"/>
      <c r="AW50" s="1426"/>
      <c r="AX50" s="973"/>
      <c r="AY50" s="1377" t="s">
        <v>906</v>
      </c>
    </row>
    <row r="51" spans="1:51" ht="75" customHeight="1" outlineLevel="1" x14ac:dyDescent="0.25">
      <c r="A51" s="1427">
        <v>2</v>
      </c>
      <c r="B51" s="1428" t="s">
        <v>1475</v>
      </c>
      <c r="C51" s="1429" t="s">
        <v>905</v>
      </c>
      <c r="D51" s="1427" t="s">
        <v>909</v>
      </c>
      <c r="E51" s="1430"/>
      <c r="F51" s="977"/>
      <c r="G51" s="976"/>
      <c r="H51" s="976"/>
      <c r="I51" s="974"/>
      <c r="J51" s="974"/>
      <c r="K51" s="975"/>
      <c r="L51" s="974"/>
      <c r="M51" s="974"/>
      <c r="N51" s="974"/>
      <c r="O51" s="1432" t="s">
        <v>1474</v>
      </c>
      <c r="P51" s="1419"/>
      <c r="Q51" s="1420">
        <v>0</v>
      </c>
      <c r="R51" s="1420">
        <v>0</v>
      </c>
      <c r="S51" s="1420">
        <v>0</v>
      </c>
      <c r="T51" s="1401">
        <f t="shared" si="1"/>
        <v>0</v>
      </c>
      <c r="U51" s="1431"/>
      <c r="V51" s="1431"/>
      <c r="W51" s="1431">
        <v>1.01</v>
      </c>
      <c r="X51" s="1431"/>
      <c r="Y51" s="1431"/>
      <c r="Z51" s="1431"/>
      <c r="AA51" s="1431"/>
      <c r="AB51" s="1431"/>
      <c r="AC51" s="1422"/>
      <c r="AD51" s="1423"/>
      <c r="AE51" s="1423"/>
      <c r="AF51" s="1423"/>
      <c r="AG51" s="1423"/>
      <c r="AH51" s="1423"/>
      <c r="AI51" s="1423"/>
      <c r="AJ51" s="1419"/>
      <c r="AK51" s="1420">
        <v>0</v>
      </c>
      <c r="AL51" s="1420">
        <v>0</v>
      </c>
      <c r="AM51" s="1420">
        <v>0</v>
      </c>
      <c r="AN51" s="1401">
        <f t="shared" si="2"/>
        <v>0</v>
      </c>
      <c r="AO51" s="1426"/>
      <c r="AP51" s="1426"/>
      <c r="AQ51" s="1431">
        <v>1.01</v>
      </c>
      <c r="AR51" s="1426"/>
      <c r="AS51" s="1426"/>
      <c r="AT51" s="1426"/>
      <c r="AU51" s="1426"/>
      <c r="AV51" s="1426"/>
      <c r="AW51" s="1426"/>
      <c r="AX51" s="973"/>
      <c r="AY51" s="1369" t="s">
        <v>899</v>
      </c>
    </row>
    <row r="52" spans="1:51" ht="75" customHeight="1" outlineLevel="1" x14ac:dyDescent="0.25">
      <c r="A52" s="1427">
        <v>3</v>
      </c>
      <c r="B52" s="1428" t="s">
        <v>1473</v>
      </c>
      <c r="C52" s="1429" t="s">
        <v>905</v>
      </c>
      <c r="D52" s="1427" t="s">
        <v>909</v>
      </c>
      <c r="E52" s="1430"/>
      <c r="F52" s="977"/>
      <c r="G52" s="976"/>
      <c r="H52" s="976"/>
      <c r="I52" s="974"/>
      <c r="J52" s="974"/>
      <c r="K52" s="975"/>
      <c r="L52" s="980">
        <v>44866</v>
      </c>
      <c r="M52" s="974"/>
      <c r="N52" s="978">
        <v>45013</v>
      </c>
      <c r="O52" s="979" t="s">
        <v>1472</v>
      </c>
      <c r="P52" s="1419"/>
      <c r="Q52" s="1420">
        <v>0</v>
      </c>
      <c r="R52" s="1420">
        <v>0</v>
      </c>
      <c r="S52" s="1420"/>
      <c r="T52" s="1401">
        <f t="shared" si="1"/>
        <v>0</v>
      </c>
      <c r="U52" s="1431">
        <v>9.8743800000000007E-2</v>
      </c>
      <c r="V52" s="1431"/>
      <c r="W52" s="1431"/>
      <c r="X52" s="1431"/>
      <c r="Y52" s="1431"/>
      <c r="Z52" s="1431"/>
      <c r="AA52" s="1431"/>
      <c r="AB52" s="1431"/>
      <c r="AC52" s="1422"/>
      <c r="AD52" s="1423"/>
      <c r="AE52" s="1423"/>
      <c r="AF52" s="1423"/>
      <c r="AG52" s="1423"/>
      <c r="AH52" s="1423"/>
      <c r="AI52" s="1423"/>
      <c r="AJ52" s="1419"/>
      <c r="AK52" s="1420">
        <v>0</v>
      </c>
      <c r="AL52" s="1420">
        <v>0</v>
      </c>
      <c r="AM52" s="1420">
        <v>0</v>
      </c>
      <c r="AN52" s="1401">
        <f t="shared" si="2"/>
        <v>0</v>
      </c>
      <c r="AO52" s="1433">
        <v>9.8743800000000007E-2</v>
      </c>
      <c r="AP52" s="1426"/>
      <c r="AQ52" s="1431"/>
      <c r="AR52" s="1426"/>
      <c r="AS52" s="1426"/>
      <c r="AT52" s="1426"/>
      <c r="AU52" s="1426"/>
      <c r="AV52" s="1426"/>
      <c r="AW52" s="1426"/>
      <c r="AX52" s="973"/>
      <c r="AY52" s="1377" t="s">
        <v>906</v>
      </c>
    </row>
    <row r="53" spans="1:51" ht="15" customHeight="1" outlineLevel="1" x14ac:dyDescent="0.25">
      <c r="A53" s="1427">
        <v>4</v>
      </c>
      <c r="B53" s="1434" t="s">
        <v>932</v>
      </c>
      <c r="C53" s="1429" t="s">
        <v>905</v>
      </c>
      <c r="D53" s="1427" t="s">
        <v>909</v>
      </c>
      <c r="E53" s="1430"/>
      <c r="F53" s="977"/>
      <c r="G53" s="976"/>
      <c r="H53" s="976"/>
      <c r="I53" s="974"/>
      <c r="J53" s="974"/>
      <c r="K53" s="975"/>
      <c r="L53" s="974"/>
      <c r="M53" s="974"/>
      <c r="N53" s="978">
        <v>45223</v>
      </c>
      <c r="O53" s="1612" t="s">
        <v>1471</v>
      </c>
      <c r="P53" s="1419"/>
      <c r="Q53" s="1420">
        <v>5.2664500000000003E-2</v>
      </c>
      <c r="R53" s="1420">
        <v>0.94423330500000002</v>
      </c>
      <c r="S53" s="1420">
        <v>3.1609379999999999E-2</v>
      </c>
      <c r="T53" s="1401">
        <f t="shared" si="1"/>
        <v>1.028507185</v>
      </c>
      <c r="U53" s="1431"/>
      <c r="V53" s="1431">
        <v>2.9146435999999998E-2</v>
      </c>
      <c r="W53" s="1431">
        <v>0.01</v>
      </c>
      <c r="X53" s="1431"/>
      <c r="Y53" s="1431"/>
      <c r="Z53" s="1431"/>
      <c r="AA53" s="1431"/>
      <c r="AB53" s="1431"/>
      <c r="AC53" s="1422"/>
      <c r="AD53" s="1422">
        <v>1</v>
      </c>
      <c r="AE53" s="1422">
        <v>1</v>
      </c>
      <c r="AF53" s="1422">
        <v>1</v>
      </c>
      <c r="AG53" s="1423"/>
      <c r="AH53" s="1423"/>
      <c r="AI53" s="1423"/>
      <c r="AJ53" s="1419"/>
      <c r="AK53" s="1424">
        <v>5.2664500000000003E-2</v>
      </c>
      <c r="AL53" s="1424">
        <v>0.94423330500000002</v>
      </c>
      <c r="AM53" s="1424">
        <v>3.1609379999999999E-2</v>
      </c>
      <c r="AN53" s="1401">
        <f t="shared" si="2"/>
        <v>1.028507185</v>
      </c>
      <c r="AO53" s="1426"/>
      <c r="AP53" s="1426">
        <v>2.9146435999999998E-2</v>
      </c>
      <c r="AQ53" s="1431">
        <v>0.01</v>
      </c>
      <c r="AR53" s="1426"/>
      <c r="AS53" s="1426"/>
      <c r="AT53" s="1426"/>
      <c r="AU53" s="1426"/>
      <c r="AV53" s="1426"/>
      <c r="AW53" s="1426"/>
      <c r="AX53" s="973"/>
      <c r="AY53" s="1377" t="s">
        <v>906</v>
      </c>
    </row>
    <row r="54" spans="1:51" ht="15" customHeight="1" outlineLevel="1" x14ac:dyDescent="0.25">
      <c r="A54" s="1427">
        <v>5</v>
      </c>
      <c r="B54" s="1434" t="s">
        <v>933</v>
      </c>
      <c r="C54" s="1429" t="s">
        <v>905</v>
      </c>
      <c r="D54" s="1427" t="s">
        <v>909</v>
      </c>
      <c r="E54" s="1430"/>
      <c r="F54" s="977"/>
      <c r="G54" s="976"/>
      <c r="H54" s="976"/>
      <c r="I54" s="974"/>
      <c r="J54" s="974"/>
      <c r="K54" s="975">
        <f>N54</f>
        <v>45344</v>
      </c>
      <c r="L54" s="978">
        <f>N54</f>
        <v>45344</v>
      </c>
      <c r="M54" s="974"/>
      <c r="N54" s="978">
        <v>45344</v>
      </c>
      <c r="O54" s="1613"/>
      <c r="P54" s="1419"/>
      <c r="Q54" s="1420">
        <v>6.3436687999999991E-2</v>
      </c>
      <c r="R54" s="1420">
        <v>2.0933682999999995E-2</v>
      </c>
      <c r="S54" s="1420">
        <v>4.2754738999999993E-2</v>
      </c>
      <c r="T54" s="1401">
        <f t="shared" si="1"/>
        <v>0.12712510999999999</v>
      </c>
      <c r="U54" s="1435">
        <v>3.5999679999999998E-3</v>
      </c>
      <c r="V54" s="1431">
        <v>6.3954201000000002E-2</v>
      </c>
      <c r="W54" s="1431"/>
      <c r="X54" s="1431"/>
      <c r="Y54" s="1431"/>
      <c r="Z54" s="1431"/>
      <c r="AA54" s="1431"/>
      <c r="AB54" s="1431"/>
      <c r="AC54" s="1422"/>
      <c r="AD54" s="1422">
        <v>1</v>
      </c>
      <c r="AE54" s="1422">
        <v>1</v>
      </c>
      <c r="AF54" s="1422">
        <v>1</v>
      </c>
      <c r="AG54" s="1423"/>
      <c r="AH54" s="1423"/>
      <c r="AI54" s="1423"/>
      <c r="AJ54" s="1419"/>
      <c r="AK54" s="1424">
        <v>6.3436687999999991E-2</v>
      </c>
      <c r="AL54" s="1424">
        <v>2.0933682999999995E-2</v>
      </c>
      <c r="AM54" s="1424">
        <v>4.2754738999999993E-2</v>
      </c>
      <c r="AN54" s="1401">
        <f t="shared" si="2"/>
        <v>0.12712510999999999</v>
      </c>
      <c r="AO54" s="1436">
        <v>3.5999679999999998E-3</v>
      </c>
      <c r="AP54" s="1426">
        <v>6.3954201000000002E-2</v>
      </c>
      <c r="AQ54" s="1431"/>
      <c r="AR54" s="1426"/>
      <c r="AS54" s="1426"/>
      <c r="AT54" s="1426"/>
      <c r="AU54" s="1426"/>
      <c r="AV54" s="1426"/>
      <c r="AW54" s="1426"/>
      <c r="AX54" s="973"/>
      <c r="AY54" s="1377" t="s">
        <v>906</v>
      </c>
    </row>
    <row r="55" spans="1:51" ht="15" customHeight="1" outlineLevel="1" x14ac:dyDescent="0.25">
      <c r="A55" s="1427">
        <v>6</v>
      </c>
      <c r="B55" s="1434" t="s">
        <v>934</v>
      </c>
      <c r="C55" s="1429" t="s">
        <v>905</v>
      </c>
      <c r="D55" s="1427" t="s">
        <v>909</v>
      </c>
      <c r="E55" s="1430"/>
      <c r="F55" s="977"/>
      <c r="G55" s="976"/>
      <c r="H55" s="976"/>
      <c r="I55" s="974"/>
      <c r="J55" s="974"/>
      <c r="K55" s="975">
        <f>N55</f>
        <v>45308</v>
      </c>
      <c r="L55" s="978">
        <f>N55</f>
        <v>45308</v>
      </c>
      <c r="M55" s="974"/>
      <c r="N55" s="978">
        <v>45308</v>
      </c>
      <c r="O55" s="1613"/>
      <c r="P55" s="1419"/>
      <c r="Q55" s="1420">
        <v>1.2198798E-2</v>
      </c>
      <c r="R55" s="1420">
        <v>0.18480898499999998</v>
      </c>
      <c r="S55" s="1420">
        <v>4.1452199000000002E-2</v>
      </c>
      <c r="T55" s="1401">
        <f t="shared" si="1"/>
        <v>0.23845998199999999</v>
      </c>
      <c r="U55" s="1435">
        <v>1.3440360000000001E-3</v>
      </c>
      <c r="V55" s="1431">
        <v>1.6808697000000001E-2</v>
      </c>
      <c r="W55" s="1431">
        <v>0.02</v>
      </c>
      <c r="X55" s="1431"/>
      <c r="Y55" s="1431"/>
      <c r="Z55" s="1431"/>
      <c r="AA55" s="1431"/>
      <c r="AB55" s="1431"/>
      <c r="AC55" s="1422"/>
      <c r="AD55" s="1422">
        <v>1</v>
      </c>
      <c r="AE55" s="1422">
        <v>1</v>
      </c>
      <c r="AF55" s="1422">
        <v>1</v>
      </c>
      <c r="AG55" s="1423"/>
      <c r="AH55" s="1423"/>
      <c r="AI55" s="1423"/>
      <c r="AJ55" s="1419"/>
      <c r="AK55" s="1424">
        <v>1.2198798E-2</v>
      </c>
      <c r="AL55" s="1424">
        <v>0.18480898499999998</v>
      </c>
      <c r="AM55" s="1424">
        <v>4.1452199000000002E-2</v>
      </c>
      <c r="AN55" s="1401">
        <f t="shared" si="2"/>
        <v>0.23845998199999999</v>
      </c>
      <c r="AO55" s="1437">
        <v>1.3440360000000001E-3</v>
      </c>
      <c r="AP55" s="1426">
        <v>1.6808697000000001E-2</v>
      </c>
      <c r="AQ55" s="1431">
        <v>0.02</v>
      </c>
      <c r="AR55" s="1426"/>
      <c r="AS55" s="1426"/>
      <c r="AT55" s="1426"/>
      <c r="AU55" s="1426"/>
      <c r="AV55" s="1426"/>
      <c r="AW55" s="1426"/>
      <c r="AX55" s="973"/>
      <c r="AY55" s="1377" t="s">
        <v>906</v>
      </c>
    </row>
    <row r="56" spans="1:51" ht="15" customHeight="1" outlineLevel="1" x14ac:dyDescent="0.25">
      <c r="A56" s="1427">
        <v>7</v>
      </c>
      <c r="B56" s="1434" t="s">
        <v>1470</v>
      </c>
      <c r="C56" s="1429" t="s">
        <v>905</v>
      </c>
      <c r="D56" s="1427" t="s">
        <v>909</v>
      </c>
      <c r="E56" s="1430"/>
      <c r="F56" s="977"/>
      <c r="G56" s="976"/>
      <c r="H56" s="976"/>
      <c r="I56" s="974"/>
      <c r="J56" s="974"/>
      <c r="K56" s="975"/>
      <c r="L56" s="974"/>
      <c r="M56" s="974"/>
      <c r="N56" s="978"/>
      <c r="O56" s="1614"/>
      <c r="P56" s="1419"/>
      <c r="Q56" s="1420">
        <v>0.14352172700000002</v>
      </c>
      <c r="R56" s="1420">
        <v>2.9363500000000001E-2</v>
      </c>
      <c r="S56" s="1420"/>
      <c r="T56" s="1401">
        <f t="shared" si="1"/>
        <v>0.17288522700000003</v>
      </c>
      <c r="U56" s="1431"/>
      <c r="V56" s="1431"/>
      <c r="W56" s="1431"/>
      <c r="X56" s="1431"/>
      <c r="Y56" s="1431"/>
      <c r="Z56" s="1431"/>
      <c r="AA56" s="1431"/>
      <c r="AB56" s="1431"/>
      <c r="AC56" s="1422"/>
      <c r="AD56" s="1422">
        <v>1</v>
      </c>
      <c r="AE56" s="1422">
        <v>1</v>
      </c>
      <c r="AF56" s="1423"/>
      <c r="AG56" s="1423"/>
      <c r="AH56" s="1423"/>
      <c r="AI56" s="1423"/>
      <c r="AJ56" s="1419"/>
      <c r="AK56" s="1424">
        <v>0.14352172700000002</v>
      </c>
      <c r="AL56" s="1424">
        <v>2.9363500000000001E-2</v>
      </c>
      <c r="AM56" s="1424">
        <v>0</v>
      </c>
      <c r="AN56" s="1401">
        <f t="shared" si="2"/>
        <v>0.17288522700000003</v>
      </c>
      <c r="AO56" s="1426">
        <v>0</v>
      </c>
      <c r="AP56" s="1426"/>
      <c r="AQ56" s="1431"/>
      <c r="AR56" s="1426"/>
      <c r="AS56" s="1426"/>
      <c r="AT56" s="1426"/>
      <c r="AU56" s="1426"/>
      <c r="AV56" s="1426"/>
      <c r="AW56" s="1426"/>
      <c r="AX56" s="973"/>
      <c r="AY56" s="1369" t="s">
        <v>906</v>
      </c>
    </row>
    <row r="57" spans="1:51" ht="60" customHeight="1" outlineLevel="1" x14ac:dyDescent="0.25">
      <c r="A57" s="1427">
        <v>8</v>
      </c>
      <c r="B57" s="1428" t="s">
        <v>1469</v>
      </c>
      <c r="C57" s="1429" t="s">
        <v>905</v>
      </c>
      <c r="D57" s="1427" t="s">
        <v>909</v>
      </c>
      <c r="E57" s="1430"/>
      <c r="F57" s="977"/>
      <c r="G57" s="976"/>
      <c r="H57" s="976"/>
      <c r="I57" s="974"/>
      <c r="J57" s="974"/>
      <c r="K57" s="975"/>
      <c r="L57" s="974"/>
      <c r="M57" s="974"/>
      <c r="N57" s="974"/>
      <c r="O57" s="1438" t="s">
        <v>1461</v>
      </c>
      <c r="P57" s="1419"/>
      <c r="Q57" s="1420">
        <v>0.30562</v>
      </c>
      <c r="R57" s="1424">
        <v>2.462E-2</v>
      </c>
      <c r="S57" s="1420"/>
      <c r="T57" s="1401">
        <f t="shared" si="1"/>
        <v>0.33023999999999998</v>
      </c>
      <c r="U57" s="1431"/>
      <c r="V57" s="1431"/>
      <c r="W57" s="1431"/>
      <c r="X57" s="1431"/>
      <c r="Y57" s="1431"/>
      <c r="Z57" s="1431"/>
      <c r="AA57" s="1431"/>
      <c r="AB57" s="1431"/>
      <c r="AC57" s="1422"/>
      <c r="AD57" s="1422">
        <v>1</v>
      </c>
      <c r="AE57" s="1422"/>
      <c r="AF57" s="1423"/>
      <c r="AG57" s="1423"/>
      <c r="AH57" s="1423"/>
      <c r="AI57" s="1423"/>
      <c r="AJ57" s="1419"/>
      <c r="AK57" s="1424">
        <v>0.30562</v>
      </c>
      <c r="AL57" s="1424">
        <v>2.462E-2</v>
      </c>
      <c r="AM57" s="1424"/>
      <c r="AN57" s="1401">
        <f t="shared" si="2"/>
        <v>0.33023999999999998</v>
      </c>
      <c r="AO57" s="1426"/>
      <c r="AP57" s="1426"/>
      <c r="AQ57" s="1431"/>
      <c r="AR57" s="1426"/>
      <c r="AS57" s="1426"/>
      <c r="AT57" s="1426"/>
      <c r="AU57" s="1426"/>
      <c r="AV57" s="1426"/>
      <c r="AW57" s="1426"/>
      <c r="AX57" s="973"/>
      <c r="AY57" s="1369" t="s">
        <v>906</v>
      </c>
    </row>
    <row r="58" spans="1:51" x14ac:dyDescent="0.25">
      <c r="A58" s="969"/>
      <c r="B58" s="971" t="s">
        <v>271</v>
      </c>
      <c r="C58" s="969"/>
      <c r="D58" s="969"/>
      <c r="E58" s="970"/>
      <c r="F58" s="972"/>
      <c r="G58" s="971"/>
      <c r="H58" s="971"/>
      <c r="I58" s="971"/>
      <c r="J58" s="971"/>
      <c r="K58" s="970"/>
      <c r="L58" s="971"/>
      <c r="M58" s="971"/>
      <c r="N58" s="971"/>
      <c r="O58" s="971"/>
      <c r="P58" s="1295">
        <f t="shared" ref="P58:AB58" si="12">SUM(P10:P57)</f>
        <v>7.821122441</v>
      </c>
      <c r="Q58" s="1439">
        <f t="shared" si="12"/>
        <v>1.2532065470000002</v>
      </c>
      <c r="R58" s="1439">
        <f t="shared" si="12"/>
        <v>1.8707948730000004</v>
      </c>
      <c r="S58" s="1439">
        <f t="shared" si="12"/>
        <v>3.8980015539999999</v>
      </c>
      <c r="T58" s="1439">
        <f t="shared" si="12"/>
        <v>14.843125415000001</v>
      </c>
      <c r="U58" s="1439">
        <f t="shared" si="12"/>
        <v>13.978811803999999</v>
      </c>
      <c r="V58" s="1439">
        <f t="shared" si="12"/>
        <v>3.8785684419999997</v>
      </c>
      <c r="W58" s="1439">
        <f t="shared" si="12"/>
        <v>2.77</v>
      </c>
      <c r="X58" s="1439">
        <f t="shared" si="12"/>
        <v>18.940000000000001</v>
      </c>
      <c r="Y58" s="1439">
        <f t="shared" si="12"/>
        <v>33.14</v>
      </c>
      <c r="Z58" s="1439">
        <f t="shared" si="12"/>
        <v>25.439999999999998</v>
      </c>
      <c r="AA58" s="1439">
        <f t="shared" si="12"/>
        <v>0</v>
      </c>
      <c r="AB58" s="1439">
        <f t="shared" si="12"/>
        <v>35</v>
      </c>
      <c r="AC58" s="1440"/>
      <c r="AD58" s="1441"/>
      <c r="AE58" s="1441"/>
      <c r="AF58" s="1441"/>
      <c r="AG58" s="1441"/>
      <c r="AH58" s="1441"/>
      <c r="AI58" s="1441"/>
      <c r="AJ58" s="1295">
        <f t="shared" ref="AJ58:AW58" si="13">SUM(AJ10:AJ57)</f>
        <v>5.6284316719999996</v>
      </c>
      <c r="AK58" s="1442">
        <f t="shared" si="13"/>
        <v>2.7609858779999996</v>
      </c>
      <c r="AL58" s="1442">
        <f t="shared" si="13"/>
        <v>2.2506903110000005</v>
      </c>
      <c r="AM58" s="1442">
        <f t="shared" si="13"/>
        <v>1.0882681540000001</v>
      </c>
      <c r="AN58" s="1442">
        <f t="shared" si="13"/>
        <v>11.728376015</v>
      </c>
      <c r="AO58" s="1442">
        <f t="shared" si="13"/>
        <v>5.0240064840000001</v>
      </c>
      <c r="AP58" s="1442">
        <f t="shared" si="13"/>
        <v>3.8785684419999997</v>
      </c>
      <c r="AQ58" s="1442">
        <f t="shared" si="13"/>
        <v>2.77</v>
      </c>
      <c r="AR58" s="1442">
        <f t="shared" si="13"/>
        <v>18.940000000000001</v>
      </c>
      <c r="AS58" s="1442">
        <f t="shared" si="13"/>
        <v>33.14</v>
      </c>
      <c r="AT58" s="1442">
        <f t="shared" si="13"/>
        <v>25.439999999999998</v>
      </c>
      <c r="AU58" s="1442">
        <f t="shared" si="13"/>
        <v>0</v>
      </c>
      <c r="AV58" s="1442">
        <f t="shared" si="13"/>
        <v>35</v>
      </c>
      <c r="AW58" s="1442">
        <f t="shared" si="13"/>
        <v>0</v>
      </c>
      <c r="AX58" s="971"/>
      <c r="AY58" s="969"/>
    </row>
    <row r="60" spans="1:51" x14ac:dyDescent="0.25">
      <c r="S60" s="1340" t="s">
        <v>1468</v>
      </c>
      <c r="AK60" s="1344">
        <f>27609858.78/10^7</f>
        <v>2.7609858780000001</v>
      </c>
      <c r="AL60" s="1344">
        <f>22506903/10^7</f>
        <v>2.2506903</v>
      </c>
      <c r="AM60" s="1443">
        <f>10882682/10^7</f>
        <v>1.0882681999999999</v>
      </c>
      <c r="AN60" s="1443"/>
    </row>
    <row r="61" spans="1:51" x14ac:dyDescent="0.25">
      <c r="AK61" s="1444">
        <f>+AK58-AK60</f>
        <v>0</v>
      </c>
      <c r="AL61" s="1443">
        <f>+AL58-AL60</f>
        <v>1.1000000466054871E-8</v>
      </c>
      <c r="AM61" s="1443">
        <f>+AM58-AM60</f>
        <v>-4.5999999809254177E-8</v>
      </c>
      <c r="AN61" s="1443"/>
      <c r="AO61" s="1344">
        <f>SUM(AO50:AO57)</f>
        <v>0.21748780400000001</v>
      </c>
      <c r="AP61" s="1344">
        <f>SUM(AP50:AP57)</f>
        <v>0.109909334</v>
      </c>
    </row>
    <row r="63" spans="1:51" x14ac:dyDescent="0.25">
      <c r="AK63" s="1443">
        <v>0.30562</v>
      </c>
      <c r="AL63" s="1443">
        <f>246200/10^7</f>
        <v>2.462E-2</v>
      </c>
      <c r="AO63" s="1344">
        <v>7.79</v>
      </c>
      <c r="AP63" s="1344">
        <v>3.49</v>
      </c>
      <c r="AQ63" s="1344">
        <v>35.32</v>
      </c>
    </row>
    <row r="64" spans="1:51" x14ac:dyDescent="0.25">
      <c r="AK64" s="1443">
        <f>+AK61+AK63</f>
        <v>0.30562</v>
      </c>
    </row>
    <row r="65" spans="16:48" x14ac:dyDescent="0.25">
      <c r="AM65" s="1344">
        <v>1.9206846900000003</v>
      </c>
      <c r="AO65" s="1344">
        <v>13.318839830000002</v>
      </c>
      <c r="AP65" s="1344">
        <v>7.5017489619999997</v>
      </c>
      <c r="AQ65" s="1344">
        <v>47.934850000000004</v>
      </c>
      <c r="AR65" s="1344">
        <v>131.75024999999999</v>
      </c>
      <c r="AS65" s="1344">
        <v>101.14</v>
      </c>
      <c r="AT65" s="1344">
        <v>93.94</v>
      </c>
      <c r="AU65" s="1344">
        <v>0</v>
      </c>
      <c r="AV65" s="1344">
        <v>35</v>
      </c>
    </row>
    <row r="76" spans="16:48" x14ac:dyDescent="0.25">
      <c r="P76" s="1339">
        <v>1.1579071000000001</v>
      </c>
    </row>
    <row r="77" spans="16:48" x14ac:dyDescent="0.25">
      <c r="P77" s="1339">
        <v>0.27249859999999998</v>
      </c>
    </row>
    <row r="78" spans="16:48" x14ac:dyDescent="0.25">
      <c r="P78" s="1339">
        <v>7.7792E-2</v>
      </c>
    </row>
    <row r="79" spans="16:48" x14ac:dyDescent="0.25">
      <c r="P79" s="1339">
        <v>0.20473749999999999</v>
      </c>
    </row>
    <row r="80" spans="16:48" x14ac:dyDescent="0.25">
      <c r="P80" s="1339">
        <v>0.25037999999999999</v>
      </c>
    </row>
    <row r="81" spans="16:36" x14ac:dyDescent="0.25">
      <c r="P81" s="1339">
        <v>0</v>
      </c>
    </row>
    <row r="82" spans="16:36" x14ac:dyDescent="0.25">
      <c r="P82" s="1339">
        <v>0.39749400000000001</v>
      </c>
    </row>
    <row r="83" spans="16:36" x14ac:dyDescent="0.25">
      <c r="P83" s="1339">
        <f>SUM(P76:P82)</f>
        <v>2.3608092000000003</v>
      </c>
    </row>
    <row r="85" spans="16:36" x14ac:dyDescent="0.25">
      <c r="P85" s="1339">
        <v>0.32486589999999999</v>
      </c>
      <c r="AJ85" s="1343">
        <v>0.32486589999999999</v>
      </c>
    </row>
    <row r="86" spans="16:36" x14ac:dyDescent="0.25">
      <c r="P86" s="1339">
        <v>0.26213160000000002</v>
      </c>
      <c r="AJ86" s="1343">
        <v>0.26213160000000002</v>
      </c>
    </row>
    <row r="87" spans="16:36" x14ac:dyDescent="0.25">
      <c r="P87" s="1339">
        <v>0.1</v>
      </c>
      <c r="AJ87" s="1343">
        <v>0.1</v>
      </c>
    </row>
    <row r="88" spans="16:36" x14ac:dyDescent="0.25">
      <c r="P88" s="1339">
        <v>9.2500499999999999E-2</v>
      </c>
      <c r="AJ88" s="1343">
        <v>9.2500499999999999E-2</v>
      </c>
    </row>
    <row r="89" spans="16:36" x14ac:dyDescent="0.25">
      <c r="P89" s="1339">
        <v>0.3108609</v>
      </c>
      <c r="AJ89" s="1343">
        <v>0.3108609</v>
      </c>
    </row>
    <row r="90" spans="16:36" x14ac:dyDescent="0.25">
      <c r="P90" s="1339">
        <v>0.22553089999999998</v>
      </c>
      <c r="AJ90" s="1343">
        <v>9.6787799999999993E-2</v>
      </c>
    </row>
    <row r="91" spans="16:36" x14ac:dyDescent="0.25">
      <c r="P91" s="1339">
        <f>SUM(P85:P90)</f>
        <v>1.3158897999999999</v>
      </c>
      <c r="AJ91" s="1343">
        <f>SUM(AJ85:AJ90)</f>
        <v>1.1871467</v>
      </c>
    </row>
    <row r="93" spans="16:36" x14ac:dyDescent="0.25">
      <c r="P93" s="1339">
        <v>0.20056550000000001</v>
      </c>
    </row>
    <row r="94" spans="16:36" x14ac:dyDescent="0.25">
      <c r="P94" s="1339">
        <v>0.13371269999999999</v>
      </c>
    </row>
    <row r="95" spans="16:36" x14ac:dyDescent="0.25">
      <c r="P95" s="1339">
        <v>0.18377830000000001</v>
      </c>
    </row>
    <row r="96" spans="16:36" x14ac:dyDescent="0.25">
      <c r="P96" s="1339">
        <v>0.38400000000000001</v>
      </c>
    </row>
    <row r="97" spans="16:16" x14ac:dyDescent="0.25">
      <c r="P97" s="1339">
        <v>0.20725199999999999</v>
      </c>
    </row>
    <row r="98" spans="16:16" x14ac:dyDescent="0.25">
      <c r="P98" s="1339">
        <v>0</v>
      </c>
    </row>
    <row r="99" spans="16:16" x14ac:dyDescent="0.25">
      <c r="P99" s="1339">
        <v>0.33133049999999997</v>
      </c>
    </row>
    <row r="100" spans="16:16" x14ac:dyDescent="0.25">
      <c r="P100" s="1339">
        <f>SUM(P93:P99)</f>
        <v>1.440639</v>
      </c>
    </row>
    <row r="115" spans="19:20" x14ac:dyDescent="0.25">
      <c r="S115" s="1340">
        <v>0</v>
      </c>
      <c r="T115" s="1340">
        <v>0</v>
      </c>
    </row>
  </sheetData>
  <mergeCells count="27">
    <mergeCell ref="AY4:AY6"/>
    <mergeCell ref="P5:P6"/>
    <mergeCell ref="T5:T6"/>
    <mergeCell ref="AC5:AC6"/>
    <mergeCell ref="AJ5:AJ6"/>
    <mergeCell ref="AN5:AN6"/>
    <mergeCell ref="P4:W4"/>
    <mergeCell ref="AC4:AI4"/>
    <mergeCell ref="AJ4:AQ4"/>
    <mergeCell ref="AW4:AW6"/>
    <mergeCell ref="AX4:AX6"/>
    <mergeCell ref="O53:O5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conditionalFormatting sqref="F11 D11:E13 D20:E23 D25:E30 E15:E18 D50:E57 D10 D14:D19 D24">
    <cfRule type="containsText" dxfId="393" priority="39" operator="containsText" text="DPR not submitted">
      <formula>NOT(ISERROR(SEARCH("DPR not submitted",D10)))</formula>
    </cfRule>
    <cfRule type="containsText" dxfId="392" priority="40" operator="containsText" text="Yet to be approved">
      <formula>NOT(ISERROR(SEARCH("Yet to be approved",D10)))</formula>
    </cfRule>
  </conditionalFormatting>
  <conditionalFormatting sqref="D31">
    <cfRule type="containsText" dxfId="391" priority="29" operator="containsText" text="DPR not submitted">
      <formula>NOT(ISERROR(SEARCH("DPR not submitted",D31)))</formula>
    </cfRule>
    <cfRule type="containsText" dxfId="390" priority="30" operator="containsText" text="Yet to be approved">
      <formula>NOT(ISERROR(SEARCH("Yet to be approved",D31)))</formula>
    </cfRule>
  </conditionalFormatting>
  <conditionalFormatting sqref="D32:E32">
    <cfRule type="containsText" dxfId="389" priority="27" operator="containsText" text="DPR not submitted">
      <formula>NOT(ISERROR(SEARCH("DPR not submitted",D32)))</formula>
    </cfRule>
    <cfRule type="containsText" dxfId="388" priority="28" operator="containsText" text="Yet to be approved">
      <formula>NOT(ISERROR(SEARCH("Yet to be approved",D32)))</formula>
    </cfRule>
  </conditionalFormatting>
  <conditionalFormatting sqref="L11:N12 D34:D47 E35:E47">
    <cfRule type="containsText" dxfId="387" priority="25" operator="containsText" text="DPR not submitted">
      <formula>NOT(ISERROR(SEARCH("DPR not submitted",D11)))</formula>
    </cfRule>
    <cfRule type="containsText" dxfId="386" priority="26" operator="containsText" text="Yet to be approved">
      <formula>NOT(ISERROR(SEARCH("Yet to be approved",D11)))</formula>
    </cfRule>
  </conditionalFormatting>
  <conditionalFormatting sqref="L15:N18">
    <cfRule type="containsText" dxfId="385" priority="23" operator="containsText" text="DPR not submitted">
      <formula>NOT(ISERROR(SEARCH("DPR not submitted",L15)))</formula>
    </cfRule>
    <cfRule type="containsText" dxfId="384" priority="24" operator="containsText" text="Yet to be approved">
      <formula>NOT(ISERROR(SEARCH("Yet to be approved",L15)))</formula>
    </cfRule>
  </conditionalFormatting>
  <conditionalFormatting sqref="L20:N22">
    <cfRule type="containsText" dxfId="383" priority="21" operator="containsText" text="DPR not submitted">
      <formula>NOT(ISERROR(SEARCH("DPR not submitted",L20)))</formula>
    </cfRule>
    <cfRule type="containsText" dxfId="382" priority="22" operator="containsText" text="Yet to be approved">
      <formula>NOT(ISERROR(SEARCH("Yet to be approved",L20)))</formula>
    </cfRule>
  </conditionalFormatting>
  <conditionalFormatting sqref="M25:N29">
    <cfRule type="containsText" dxfId="381" priority="19" operator="containsText" text="DPR not submitted">
      <formula>NOT(ISERROR(SEARCH("DPR not submitted",M25)))</formula>
    </cfRule>
    <cfRule type="containsText" dxfId="380" priority="20" operator="containsText" text="Yet to be approved">
      <formula>NOT(ISERROR(SEARCH("Yet to be approved",M25)))</formula>
    </cfRule>
  </conditionalFormatting>
  <conditionalFormatting sqref="M32:N32">
    <cfRule type="containsText" dxfId="379" priority="13" operator="containsText" text="DPR not submitted">
      <formula>NOT(ISERROR(SEARCH("DPR not submitted",M32)))</formula>
    </cfRule>
    <cfRule type="containsText" dxfId="378" priority="14" operator="containsText" text="Yet to be approved">
      <formula>NOT(ISERROR(SEARCH("Yet to be approved",M32)))</formula>
    </cfRule>
  </conditionalFormatting>
  <conditionalFormatting sqref="N20:N22">
    <cfRule type="containsText" dxfId="377" priority="17" operator="containsText" text="DPR not submitted">
      <formula>NOT(ISERROR(SEARCH("DPR not submitted",N20)))</formula>
    </cfRule>
    <cfRule type="containsText" dxfId="376" priority="18" operator="containsText" text="Yet to be approved">
      <formula>NOT(ISERROR(SEARCH("Yet to be approved",N20)))</formula>
    </cfRule>
  </conditionalFormatting>
  <conditionalFormatting sqref="N25:N29">
    <cfRule type="containsText" dxfId="375" priority="15" operator="containsText" text="DPR not submitted">
      <formula>NOT(ISERROR(SEARCH("DPR not submitted",N25)))</formula>
    </cfRule>
    <cfRule type="containsText" dxfId="374" priority="16" operator="containsText" text="Yet to be approved">
      <formula>NOT(ISERROR(SEARCH("Yet to be approved",N25)))</formula>
    </cfRule>
  </conditionalFormatting>
  <conditionalFormatting sqref="N32">
    <cfRule type="containsText" dxfId="373" priority="11" operator="containsText" text="DPR not submitted">
      <formula>NOT(ISERROR(SEARCH("DPR not submitted",N32)))</formula>
    </cfRule>
    <cfRule type="containsText" dxfId="372" priority="12" operator="containsText" text="Yet to be approved">
      <formula>NOT(ISERROR(SEARCH("Yet to be approved",N32)))</formula>
    </cfRule>
  </conditionalFormatting>
  <conditionalFormatting sqref="M35:M38">
    <cfRule type="containsText" dxfId="371" priority="1" operator="containsText" text="DPR not submitted">
      <formula>NOT(ISERROR(SEARCH("DPR not submitted",M35)))</formula>
    </cfRule>
    <cfRule type="containsText" dxfId="370" priority="2" operator="containsText" text="Yet to be approved">
      <formula>NOT(ISERROR(SEARCH("Yet to be approved",M35)))</formula>
    </cfRule>
  </conditionalFormatting>
  <dataValidations count="2">
    <dataValidation type="list" allowBlank="1" showInputMessage="1" showErrorMessage="1" sqref="C1:C1048576" xr:uid="{1EB295BF-646E-4D79-93B6-6DFFBDE6821C}">
      <formula1>$AZ$1:$AZ$4</formula1>
    </dataValidation>
    <dataValidation type="list" allowBlank="1" showInputMessage="1" showErrorMessage="1" sqref="AY1:AY1048576" xr:uid="{575C2C9C-71A4-47EA-9F69-0355B9559936}">
      <formula1>$BA$1:$BA$8</formula1>
    </dataValidation>
  </dataValidations>
  <printOptions horizontalCentered="1"/>
  <pageMargins left="0.35433070866141736" right="0" top="0.31496062992125984" bottom="0.23622047244094491" header="0.23622047244094491" footer="0.23622047244094491"/>
  <pageSetup paperSize="9" scale="63" fitToHeight="8" pageOrder="overThenDown" orientation="landscape" r:id="rId1"/>
  <headerFooter alignWithMargins="0">
    <oddHeader>&amp;C&amp;"-,Bold"MSPGCL: CSTPS Unit 3-7MTR Petition Formats- GenerationForm 4.2: Capitalisation Plan</oddHeader>
  </headerFooter>
  <rowBreaks count="1" manualBreakCount="1">
    <brk id="51" max="38" man="1"/>
  </rowBreaks>
  <colBreaks count="2" manualBreakCount="2">
    <brk id="12" max="74" man="1"/>
    <brk id="28" max="74" man="1"/>
  </colBreaks>
  <extLst>
    <ext xmlns:x14="http://schemas.microsoft.com/office/spreadsheetml/2009/9/main" uri="{78C0D931-6437-407d-A8EE-F0AAD7539E65}">
      <x14:conditionalFormattings>
        <x14:conditionalFormatting xmlns:xm="http://schemas.microsoft.com/office/excel/2006/main">
          <x14:cfRule type="containsText" priority="31" operator="containsText" id="{EF492217-D591-4A67-AEB7-1C9EDF0C8019}">
            <xm:f>NOT(ISERROR(SEARCH($BA$8,AY1)))</xm:f>
            <xm:f>$BA$8</xm:f>
            <x14:dxf>
              <font>
                <b val="0"/>
                <i/>
                <color rgb="FFFF0000"/>
              </font>
              <fill>
                <patternFill patternType="none">
                  <bgColor auto="1"/>
                </patternFill>
              </fill>
            </x14:dxf>
          </x14:cfRule>
          <x14:cfRule type="containsText" priority="32" operator="containsText" id="{5AE66CF7-7205-4E34-9160-4957ACFACF45}">
            <xm:f>NOT(ISERROR(SEARCH($BA$7,AY1)))</xm:f>
            <xm:f>$BA$7</xm:f>
            <x14:dxf>
              <fill>
                <patternFill>
                  <bgColor theme="0" tint="-0.34998626667073579"/>
                </patternFill>
              </fill>
            </x14:dxf>
          </x14:cfRule>
          <x14:cfRule type="containsText" priority="33" operator="containsText" id="{C368480C-8DF6-4C25-B9EA-71DE870C1258}">
            <xm:f>NOT(ISERROR(SEARCH($BA$6,AY1)))</xm:f>
            <xm:f>$BA$6</xm:f>
            <x14:dxf>
              <font>
                <color rgb="FF9C0006"/>
              </font>
              <fill>
                <patternFill>
                  <bgColor rgb="FFFFC7CE"/>
                </patternFill>
              </fill>
            </x14:dxf>
          </x14:cfRule>
          <x14:cfRule type="containsText" priority="34" operator="containsText" id="{8BF1B26E-789A-4FC5-8474-067C65046BE8}">
            <xm:f>NOT(ISERROR(SEARCH($BA$5,AY1)))</xm:f>
            <xm:f>$BA$5</xm:f>
            <x14:dxf>
              <font>
                <color rgb="FF9C0006"/>
              </font>
              <fill>
                <patternFill>
                  <bgColor rgb="FFFFC7CE"/>
                </patternFill>
              </fill>
            </x14:dxf>
          </x14:cfRule>
          <x14:cfRule type="containsText" priority="35" operator="containsText" id="{9ABF9F64-06D6-4A42-924F-523653CC6AD7}">
            <xm:f>NOT(ISERROR(SEARCH($BA$4,AY1)))</xm:f>
            <xm:f>$BA$4</xm:f>
            <x14:dxf>
              <font>
                <color rgb="FF006100"/>
              </font>
              <fill>
                <patternFill>
                  <bgColor rgb="FFC6EFCE"/>
                </patternFill>
              </fill>
            </x14:dxf>
          </x14:cfRule>
          <x14:cfRule type="containsText" priority="36" operator="containsText" id="{89A8B144-035B-457C-ACCB-D3F11599FB16}">
            <xm:f>NOT(ISERROR(SEARCH($BA$3,AY1)))</xm:f>
            <xm:f>$BA$3</xm:f>
            <x14:dxf>
              <font>
                <color rgb="FF00B050"/>
              </font>
            </x14:dxf>
          </x14:cfRule>
          <x14:cfRule type="containsText" priority="37" operator="containsText" id="{21B8DBB8-7665-4F6B-8215-46ED3F0D9CC5}">
            <xm:f>NOT(ISERROR(SEARCH($BA$2,AY1)))</xm:f>
            <xm:f>$BA$2</xm:f>
            <x14:dxf>
              <font>
                <color rgb="FF9C6500"/>
              </font>
              <fill>
                <patternFill>
                  <bgColor rgb="FFFFEB9C"/>
                </patternFill>
              </fill>
            </x14:dxf>
          </x14:cfRule>
          <x14:cfRule type="containsText" priority="38" operator="containsText" id="{858DE120-5624-48A1-8A43-2EB4AD093A6D}">
            <xm:f>NOT(ISERROR(SEARCH($BA$1,AY1)))</xm:f>
            <xm:f>$BA$1</xm:f>
            <x14:dxf>
              <font>
                <color rgb="FF00B0F0"/>
              </font>
            </x14:dxf>
          </x14:cfRule>
          <xm:sqref>AY1:AY9 AY58:AY1048576</xm:sqref>
        </x14:conditionalFormatting>
        <x14:conditionalFormatting xmlns:xm="http://schemas.microsoft.com/office/excel/2006/main">
          <x14:cfRule type="containsText" priority="3" operator="containsText" id="{7FAF4B04-7DA8-4067-AF5B-9A530186ED2C}">
            <xm:f>NOT(ISERROR(SEARCH($BA$8,AY10)))</xm:f>
            <xm:f>$BA$8</xm:f>
            <x14:dxf>
              <font>
                <b val="0"/>
                <i/>
                <color rgb="FFFF0000"/>
              </font>
              <fill>
                <patternFill patternType="none"/>
              </fill>
            </x14:dxf>
          </x14:cfRule>
          <x14:cfRule type="containsText" priority="4" operator="containsText" id="{CD4C7BF8-0A3B-4BE2-9B3E-9DD972709C80}">
            <xm:f>NOT(ISERROR(SEARCH($BA$7,AY10)))</xm:f>
            <xm:f>$BA$7</xm:f>
            <x14:dxf>
              <fill>
                <patternFill patternType="solid">
                  <bgColor rgb="FFA6A6A6"/>
                </patternFill>
              </fill>
            </x14:dxf>
          </x14:cfRule>
          <x14:cfRule type="containsText" priority="5" operator="containsText" id="{36336E6C-A566-48FB-893E-9B979A4286C7}">
            <xm:f>NOT(ISERROR(SEARCH($BA$6,AY10)))</xm:f>
            <xm:f>$BA$6</xm:f>
            <x14:dxf>
              <font>
                <color rgb="FF9C0006"/>
              </font>
              <fill>
                <patternFill patternType="solid">
                  <bgColor rgb="FFFFC7CE"/>
                </patternFill>
              </fill>
            </x14:dxf>
          </x14:cfRule>
          <x14:cfRule type="containsText" priority="6" operator="containsText" id="{74EF4DB1-DA20-4293-9ED7-662BDF78599E}">
            <xm:f>NOT(ISERROR(SEARCH($BA$5,AY10)))</xm:f>
            <xm:f>$BA$5</xm:f>
            <x14:dxf>
              <font>
                <color rgb="FF9C0006"/>
              </font>
              <fill>
                <patternFill patternType="solid">
                  <bgColor rgb="FFFFC7CE"/>
                </patternFill>
              </fill>
            </x14:dxf>
          </x14:cfRule>
          <x14:cfRule type="containsText" priority="7" operator="containsText" id="{F119B192-437B-4C7A-BC1B-EE6C65E73D35}">
            <xm:f>NOT(ISERROR(SEARCH($BA$4,AY10)))</xm:f>
            <xm:f>$BA$4</xm:f>
            <x14:dxf>
              <font>
                <color rgb="FF006100"/>
              </font>
              <fill>
                <patternFill patternType="solid">
                  <bgColor rgb="FFC6EFCE"/>
                </patternFill>
              </fill>
            </x14:dxf>
          </x14:cfRule>
          <x14:cfRule type="containsText" priority="8" operator="containsText" id="{C203BDB1-5682-461E-909E-8355DC466CEE}">
            <xm:f>NOT(ISERROR(SEARCH($BA$3,AY10)))</xm:f>
            <xm:f>$BA$3</xm:f>
            <x14:dxf>
              <font>
                <color rgb="FF00B050"/>
              </font>
            </x14:dxf>
          </x14:cfRule>
          <x14:cfRule type="containsText" priority="9" operator="containsText" id="{BE353F2F-8B7B-4319-A4EB-BAD502CBB6E4}">
            <xm:f>NOT(ISERROR(SEARCH($BA$2,AY10)))</xm:f>
            <xm:f>$BA$2</xm:f>
            <x14:dxf>
              <font>
                <color rgb="FF9C6500"/>
              </font>
              <fill>
                <patternFill patternType="solid">
                  <bgColor rgb="FFFFEB9C"/>
                </patternFill>
              </fill>
            </x14:dxf>
          </x14:cfRule>
          <x14:cfRule type="containsText" priority="10" operator="containsText" id="{4E38814D-0C3D-414D-B1D0-7DB6AFE8756C}">
            <xm:f>NOT(ISERROR(SEARCH($BA$1,AY10)))</xm:f>
            <xm:f>$BA$1</xm:f>
            <x14:dxf>
              <font>
                <color rgb="FF00B0F0"/>
              </font>
            </x14:dxf>
          </x14:cfRule>
          <xm:sqref>AY10:AY33 AY48:AY57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29"/>
  <sheetViews>
    <sheetView showGridLines="0" view="pageBreakPreview" zoomScale="80" zoomScaleNormal="80" zoomScaleSheetLayoutView="80" workbookViewId="0">
      <pane xSplit="2" ySplit="6" topLeftCell="C48" activePane="bottomRight" state="frozen"/>
      <selection activeCell="N10" sqref="N10:N32"/>
      <selection pane="topRight" activeCell="N10" sqref="N10:N32"/>
      <selection pane="bottomLeft" activeCell="N10" sqref="N10:N32"/>
      <selection pane="bottomRight" activeCell="C1" sqref="A1:XFD1048576"/>
    </sheetView>
  </sheetViews>
  <sheetFormatPr defaultColWidth="9.1796875" defaultRowHeight="12.5" outlineLevelRow="1" x14ac:dyDescent="0.25"/>
  <cols>
    <col min="1" max="1" width="8.26953125" customWidth="1"/>
    <col min="2" max="2" width="59.453125" customWidth="1"/>
    <col min="3" max="3" width="34.1796875" customWidth="1"/>
    <col min="4" max="4" width="13.7265625" customWidth="1"/>
    <col min="5" max="5" width="10.453125" customWidth="1"/>
    <col min="6" max="6" width="15.54296875" customWidth="1"/>
    <col min="7" max="7" width="12.453125" customWidth="1"/>
    <col min="8" max="8" width="11.7265625" customWidth="1"/>
    <col min="9" max="9" width="11.453125" customWidth="1"/>
    <col min="10" max="10" width="11.81640625" customWidth="1"/>
    <col min="11" max="12" width="10.54296875" bestFit="1" customWidth="1"/>
    <col min="13" max="13" width="13.1796875" customWidth="1"/>
    <col min="14" max="14" width="9.1796875" customWidth="1"/>
    <col min="15" max="16" width="18.54296875" customWidth="1"/>
  </cols>
  <sheetData>
    <row r="1" spans="1:16" ht="15.5" x14ac:dyDescent="0.25">
      <c r="A1" s="1013"/>
      <c r="B1" s="1021"/>
      <c r="C1" s="1024" t="s">
        <v>1671</v>
      </c>
      <c r="D1" s="1019"/>
      <c r="E1" s="1312"/>
      <c r="F1" s="1312"/>
      <c r="G1" s="1312"/>
      <c r="H1" s="1312"/>
      <c r="I1" s="1312"/>
      <c r="J1" s="1312"/>
      <c r="K1" s="1312"/>
      <c r="L1" s="1312"/>
      <c r="M1" s="1312"/>
      <c r="N1" s="1312"/>
      <c r="O1" s="1013"/>
      <c r="P1" s="1013"/>
    </row>
    <row r="2" spans="1:16" ht="15.5" x14ac:dyDescent="0.25">
      <c r="A2" s="1013"/>
      <c r="B2" s="1021"/>
      <c r="C2" s="1313" t="s">
        <v>1653</v>
      </c>
      <c r="D2" s="1019"/>
      <c r="E2" s="1312"/>
      <c r="F2" s="1312"/>
      <c r="G2" s="1312"/>
      <c r="H2" s="1312"/>
      <c r="I2" s="1312"/>
      <c r="J2" s="1312"/>
      <c r="K2" s="1312"/>
      <c r="L2" s="1312"/>
      <c r="M2" s="1312"/>
      <c r="N2" s="1312"/>
      <c r="O2" s="1013"/>
      <c r="P2" s="1013"/>
    </row>
    <row r="3" spans="1:16" ht="15.5" x14ac:dyDescent="0.25">
      <c r="A3" s="1013"/>
      <c r="B3" s="1314" t="s">
        <v>0</v>
      </c>
      <c r="C3" s="1315" t="s">
        <v>653</v>
      </c>
      <c r="D3" s="1316"/>
      <c r="E3" s="1317"/>
      <c r="F3" s="1317"/>
      <c r="G3" s="1317"/>
      <c r="H3" s="1317"/>
      <c r="I3" s="1317"/>
      <c r="J3" s="1318"/>
      <c r="K3" s="1318"/>
      <c r="L3" s="1318"/>
      <c r="M3" s="1197" t="s">
        <v>10</v>
      </c>
      <c r="N3" s="1318"/>
      <c r="O3" s="1013"/>
      <c r="P3" s="1013"/>
    </row>
    <row r="4" spans="1:16" ht="15.5" x14ac:dyDescent="0.25">
      <c r="A4" s="1628" t="s">
        <v>343</v>
      </c>
      <c r="B4" s="1628" t="s">
        <v>16</v>
      </c>
      <c r="C4" s="1628" t="s">
        <v>503</v>
      </c>
      <c r="D4" s="1629" t="s">
        <v>504</v>
      </c>
      <c r="E4" s="1630" t="s">
        <v>51</v>
      </c>
      <c r="F4" s="1625" t="s">
        <v>513</v>
      </c>
      <c r="G4" s="1630" t="s">
        <v>514</v>
      </c>
      <c r="H4" s="1630" t="s">
        <v>50</v>
      </c>
      <c r="I4" s="1630" t="s">
        <v>49</v>
      </c>
      <c r="J4" s="1630" t="s">
        <v>935</v>
      </c>
      <c r="K4" s="1630"/>
      <c r="L4" s="1630"/>
      <c r="M4" s="1630"/>
      <c r="N4" s="1625" t="s">
        <v>47</v>
      </c>
      <c r="O4" s="1013"/>
      <c r="P4" s="1013"/>
    </row>
    <row r="5" spans="1:16" ht="15.5" x14ac:dyDescent="0.25">
      <c r="A5" s="1628"/>
      <c r="B5" s="1628"/>
      <c r="C5" s="1628"/>
      <c r="D5" s="1629"/>
      <c r="E5" s="1630"/>
      <c r="F5" s="1626"/>
      <c r="G5" s="1630"/>
      <c r="H5" s="1630"/>
      <c r="I5" s="1630"/>
      <c r="J5" s="1630"/>
      <c r="K5" s="1630"/>
      <c r="L5" s="1630"/>
      <c r="M5" s="1630"/>
      <c r="N5" s="1626"/>
      <c r="O5" s="1013"/>
      <c r="P5" s="1013"/>
    </row>
    <row r="6" spans="1:16" ht="46.5" x14ac:dyDescent="0.25">
      <c r="A6" s="1628"/>
      <c r="B6" s="1628"/>
      <c r="C6" s="1628"/>
      <c r="D6" s="1629"/>
      <c r="E6" s="1630"/>
      <c r="F6" s="1627"/>
      <c r="G6" s="1630"/>
      <c r="H6" s="1630"/>
      <c r="I6" s="1630"/>
      <c r="J6" s="1201" t="s">
        <v>46</v>
      </c>
      <c r="K6" s="1201" t="s">
        <v>45</v>
      </c>
      <c r="L6" s="1201" t="s">
        <v>44</v>
      </c>
      <c r="M6" s="1201" t="s">
        <v>43</v>
      </c>
      <c r="N6" s="1627"/>
      <c r="O6" s="1023" t="s">
        <v>1513</v>
      </c>
      <c r="P6" s="1023" t="s">
        <v>1512</v>
      </c>
    </row>
    <row r="7" spans="1:16" s="1013" customFormat="1" ht="15.5" x14ac:dyDescent="0.25">
      <c r="A7" s="1319"/>
      <c r="B7" s="1018" t="s">
        <v>519</v>
      </c>
      <c r="C7" s="1320"/>
      <c r="D7" s="1321"/>
      <c r="E7" s="1322"/>
      <c r="F7" s="1322"/>
      <c r="G7" s="1322"/>
      <c r="H7" s="1322"/>
      <c r="I7" s="1322"/>
      <c r="J7" s="1322"/>
      <c r="K7" s="1322"/>
      <c r="L7" s="1322"/>
      <c r="M7" s="1322"/>
      <c r="N7" s="1322"/>
      <c r="O7" s="535"/>
      <c r="P7" s="535"/>
    </row>
    <row r="8" spans="1:16" s="1013" customFormat="1" ht="15.5" outlineLevel="1" x14ac:dyDescent="0.35">
      <c r="A8" s="1319"/>
      <c r="B8" s="1017" t="s">
        <v>23</v>
      </c>
      <c r="C8" s="1320"/>
      <c r="D8" s="1321"/>
      <c r="E8" s="1322"/>
      <c r="F8" s="1322"/>
      <c r="G8" s="1322"/>
      <c r="H8" s="1322"/>
      <c r="I8" s="1322"/>
      <c r="J8" s="1322"/>
      <c r="K8" s="1322"/>
      <c r="L8" s="1322"/>
      <c r="M8" s="1322"/>
      <c r="N8" s="1322"/>
      <c r="O8" s="535"/>
      <c r="P8" s="535"/>
    </row>
    <row r="9" spans="1:16" s="1013" customFormat="1" ht="15.5" outlineLevel="1" x14ac:dyDescent="0.25">
      <c r="A9" s="1150"/>
      <c r="B9" s="1150" t="s">
        <v>912</v>
      </c>
      <c r="C9" s="1323"/>
      <c r="D9" s="1324"/>
      <c r="E9" s="1322"/>
      <c r="F9" s="1322"/>
      <c r="G9" s="1322"/>
      <c r="H9" s="1322"/>
      <c r="I9" s="1322"/>
      <c r="J9" s="1322"/>
      <c r="K9" s="1322"/>
      <c r="L9" s="1322"/>
      <c r="M9" s="1322"/>
      <c r="N9" s="1322"/>
      <c r="O9" s="535"/>
      <c r="P9" s="535"/>
    </row>
    <row r="10" spans="1:16" s="1013" customFormat="1" ht="31" outlineLevel="1" x14ac:dyDescent="0.25">
      <c r="A10" s="1153">
        <v>2</v>
      </c>
      <c r="B10" s="1154" t="s">
        <v>913</v>
      </c>
      <c r="C10" s="1153" t="s">
        <v>914</v>
      </c>
      <c r="D10" s="1325">
        <v>41871</v>
      </c>
      <c r="E10" s="1326">
        <v>1.5511999999999999</v>
      </c>
      <c r="F10" s="1327">
        <v>0</v>
      </c>
      <c r="G10" s="1327">
        <v>0</v>
      </c>
      <c r="H10" s="1327">
        <f t="shared" ref="H10:H57" si="0">F10-G10</f>
        <v>0</v>
      </c>
      <c r="I10" s="1327">
        <v>0</v>
      </c>
      <c r="J10" s="1327">
        <v>0</v>
      </c>
      <c r="K10" s="1327"/>
      <c r="L10" s="1327"/>
      <c r="M10" s="1327">
        <f t="shared" ref="M10:M57" si="1">SUM(J10:L10)</f>
        <v>0</v>
      </c>
      <c r="N10" s="1327">
        <f t="shared" ref="N10:N57" si="2">H10+I10-M10</f>
        <v>0</v>
      </c>
      <c r="O10" s="1159">
        <f t="shared" ref="O10:O32" si="3">MAX(0,IF(M10=0,0,IF(G10+M10&lt;E10,M10,E10-G10)))</f>
        <v>0</v>
      </c>
      <c r="P10" s="1014">
        <f t="shared" ref="P10:P32" si="4">M10-O10</f>
        <v>0</v>
      </c>
    </row>
    <row r="11" spans="1:16" s="1013" customFormat="1" ht="31" outlineLevel="1" x14ac:dyDescent="0.25">
      <c r="A11" s="1160">
        <v>2.4</v>
      </c>
      <c r="B11" s="1328" t="s">
        <v>1502</v>
      </c>
      <c r="C11" s="1160" t="s">
        <v>914</v>
      </c>
      <c r="D11" s="1010">
        <v>41871</v>
      </c>
      <c r="E11" s="1329">
        <v>0.52</v>
      </c>
      <c r="F11" s="1327">
        <v>0.30932749999999998</v>
      </c>
      <c r="G11" s="1327">
        <v>0.30932749999999998</v>
      </c>
      <c r="H11" s="1329">
        <f t="shared" si="0"/>
        <v>0</v>
      </c>
      <c r="I11" s="1329">
        <v>0</v>
      </c>
      <c r="J11" s="1329">
        <v>0</v>
      </c>
      <c r="K11" s="1329"/>
      <c r="L11" s="1329"/>
      <c r="M11" s="1329">
        <f t="shared" si="1"/>
        <v>0</v>
      </c>
      <c r="N11" s="1329">
        <f t="shared" si="2"/>
        <v>0</v>
      </c>
      <c r="O11" s="1159">
        <f t="shared" si="3"/>
        <v>0</v>
      </c>
      <c r="P11" s="1014">
        <f t="shared" si="4"/>
        <v>0</v>
      </c>
    </row>
    <row r="12" spans="1:16" s="1013" customFormat="1" ht="31" outlineLevel="1" x14ac:dyDescent="0.25">
      <c r="A12" s="1160">
        <v>2.5</v>
      </c>
      <c r="B12" s="1328" t="s">
        <v>1501</v>
      </c>
      <c r="C12" s="1160" t="s">
        <v>914</v>
      </c>
      <c r="D12" s="1010">
        <v>41871</v>
      </c>
      <c r="E12" s="1329">
        <v>0.7</v>
      </c>
      <c r="F12" s="1327">
        <v>0.73791230399999996</v>
      </c>
      <c r="G12" s="1327">
        <v>0.73791230399999996</v>
      </c>
      <c r="H12" s="1329">
        <f t="shared" si="0"/>
        <v>0</v>
      </c>
      <c r="I12" s="1329">
        <v>0</v>
      </c>
      <c r="J12" s="1329">
        <v>0</v>
      </c>
      <c r="K12" s="1329"/>
      <c r="L12" s="1329"/>
      <c r="M12" s="1329">
        <f t="shared" si="1"/>
        <v>0</v>
      </c>
      <c r="N12" s="1329">
        <f t="shared" si="2"/>
        <v>0</v>
      </c>
      <c r="O12" s="1159">
        <f t="shared" si="3"/>
        <v>0</v>
      </c>
      <c r="P12" s="1014">
        <f t="shared" si="4"/>
        <v>0</v>
      </c>
    </row>
    <row r="13" spans="1:16" s="1013" customFormat="1" ht="31" outlineLevel="1" x14ac:dyDescent="0.25">
      <c r="A13" s="1160">
        <v>0</v>
      </c>
      <c r="B13" s="1328" t="s">
        <v>419</v>
      </c>
      <c r="C13" s="1160" t="s">
        <v>914</v>
      </c>
      <c r="D13" s="1010">
        <v>41871</v>
      </c>
      <c r="E13" s="1329">
        <v>0.33119999999999999</v>
      </c>
      <c r="F13" s="1327">
        <v>0</v>
      </c>
      <c r="G13" s="1327">
        <v>0</v>
      </c>
      <c r="H13" s="1329">
        <f t="shared" si="0"/>
        <v>0</v>
      </c>
      <c r="I13" s="1329">
        <v>0</v>
      </c>
      <c r="J13" s="1329">
        <v>0</v>
      </c>
      <c r="K13" s="1329"/>
      <c r="L13" s="1329"/>
      <c r="M13" s="1329">
        <f t="shared" si="1"/>
        <v>0</v>
      </c>
      <c r="N13" s="1329">
        <f t="shared" si="2"/>
        <v>0</v>
      </c>
      <c r="O13" s="1159">
        <f t="shared" si="3"/>
        <v>0</v>
      </c>
      <c r="P13" s="1014">
        <f t="shared" si="4"/>
        <v>0</v>
      </c>
    </row>
    <row r="14" spans="1:16" s="1013" customFormat="1" ht="31" outlineLevel="1" x14ac:dyDescent="0.25">
      <c r="A14" s="1153">
        <v>5</v>
      </c>
      <c r="B14" s="1154" t="s">
        <v>916</v>
      </c>
      <c r="C14" s="1153" t="s">
        <v>917</v>
      </c>
      <c r="D14" s="1325">
        <v>42825</v>
      </c>
      <c r="E14" s="1326">
        <v>12.812999999999999</v>
      </c>
      <c r="F14" s="1327">
        <v>0</v>
      </c>
      <c r="G14" s="1327">
        <v>0</v>
      </c>
      <c r="H14" s="1327">
        <f t="shared" si="0"/>
        <v>0</v>
      </c>
      <c r="I14" s="1327">
        <v>0</v>
      </c>
      <c r="J14" s="1327">
        <v>0</v>
      </c>
      <c r="K14" s="1327"/>
      <c r="L14" s="1327"/>
      <c r="M14" s="1327">
        <f t="shared" si="1"/>
        <v>0</v>
      </c>
      <c r="N14" s="1327">
        <f t="shared" si="2"/>
        <v>0</v>
      </c>
      <c r="O14" s="1159">
        <f t="shared" si="3"/>
        <v>0</v>
      </c>
      <c r="P14" s="1014">
        <f t="shared" si="4"/>
        <v>0</v>
      </c>
    </row>
    <row r="15" spans="1:16" s="1013" customFormat="1" ht="15.5" outlineLevel="1" x14ac:dyDescent="0.25">
      <c r="A15" s="1160">
        <v>5.0999999999999996</v>
      </c>
      <c r="B15" s="1328" t="s">
        <v>918</v>
      </c>
      <c r="C15" s="1160" t="s">
        <v>917</v>
      </c>
      <c r="D15" s="1010">
        <v>42825</v>
      </c>
      <c r="E15" s="1329">
        <v>2.415</v>
      </c>
      <c r="F15" s="1327">
        <v>1.2675034840000001</v>
      </c>
      <c r="G15" s="1327">
        <v>1.2675034840000001</v>
      </c>
      <c r="H15" s="1329">
        <f t="shared" si="0"/>
        <v>0</v>
      </c>
      <c r="I15" s="1329">
        <v>0</v>
      </c>
      <c r="J15" s="1329">
        <v>0</v>
      </c>
      <c r="K15" s="1329"/>
      <c r="L15" s="1329"/>
      <c r="M15" s="1329">
        <f t="shared" si="1"/>
        <v>0</v>
      </c>
      <c r="N15" s="1329">
        <f t="shared" si="2"/>
        <v>0</v>
      </c>
      <c r="O15" s="1159">
        <f t="shared" si="3"/>
        <v>0</v>
      </c>
      <c r="P15" s="1014">
        <f t="shared" si="4"/>
        <v>0</v>
      </c>
    </row>
    <row r="16" spans="1:16" s="1013" customFormat="1" ht="15.5" outlineLevel="1" x14ac:dyDescent="0.25">
      <c r="A16" s="1160">
        <v>5.2</v>
      </c>
      <c r="B16" s="1328" t="s">
        <v>919</v>
      </c>
      <c r="C16" s="1160" t="s">
        <v>917</v>
      </c>
      <c r="D16" s="1010">
        <v>42825</v>
      </c>
      <c r="E16" s="1329">
        <v>2.29</v>
      </c>
      <c r="F16" s="1327">
        <v>1.6182413759999996</v>
      </c>
      <c r="G16" s="1327">
        <v>1.6182413759999998</v>
      </c>
      <c r="H16" s="1329">
        <f t="shared" si="0"/>
        <v>0</v>
      </c>
      <c r="I16" s="1329">
        <v>0</v>
      </c>
      <c r="J16" s="1329">
        <v>0</v>
      </c>
      <c r="K16" s="1329"/>
      <c r="L16" s="1329"/>
      <c r="M16" s="1329">
        <f t="shared" si="1"/>
        <v>0</v>
      </c>
      <c r="N16" s="1329">
        <f t="shared" si="2"/>
        <v>0</v>
      </c>
      <c r="O16" s="1159">
        <f t="shared" si="3"/>
        <v>0</v>
      </c>
      <c r="P16" s="1014">
        <f t="shared" si="4"/>
        <v>0</v>
      </c>
    </row>
    <row r="17" spans="1:16" s="1013" customFormat="1" ht="15.5" outlineLevel="1" x14ac:dyDescent="0.25">
      <c r="A17" s="1160">
        <v>5.3</v>
      </c>
      <c r="B17" s="1328" t="s">
        <v>920</v>
      </c>
      <c r="C17" s="1160" t="s">
        <v>917</v>
      </c>
      <c r="D17" s="1010">
        <v>42825</v>
      </c>
      <c r="E17" s="1329">
        <v>1.427</v>
      </c>
      <c r="F17" s="1327">
        <v>0.57282329500000007</v>
      </c>
      <c r="G17" s="1327">
        <v>0.57282329500000007</v>
      </c>
      <c r="H17" s="1329">
        <f t="shared" si="0"/>
        <v>0</v>
      </c>
      <c r="I17" s="1329">
        <v>0</v>
      </c>
      <c r="J17" s="1329">
        <v>0</v>
      </c>
      <c r="K17" s="1329"/>
      <c r="L17" s="1329"/>
      <c r="M17" s="1329">
        <f t="shared" si="1"/>
        <v>0</v>
      </c>
      <c r="N17" s="1329">
        <f t="shared" si="2"/>
        <v>0</v>
      </c>
      <c r="O17" s="1159">
        <f t="shared" si="3"/>
        <v>0</v>
      </c>
      <c r="P17" s="1014">
        <f t="shared" si="4"/>
        <v>0</v>
      </c>
    </row>
    <row r="18" spans="1:16" s="1013" customFormat="1" ht="15.5" outlineLevel="1" x14ac:dyDescent="0.25">
      <c r="A18" s="1160">
        <v>5.4</v>
      </c>
      <c r="B18" s="1328" t="s">
        <v>921</v>
      </c>
      <c r="C18" s="1160" t="s">
        <v>917</v>
      </c>
      <c r="D18" s="1010">
        <v>42825</v>
      </c>
      <c r="E18" s="1329">
        <v>6.681</v>
      </c>
      <c r="F18" s="1327">
        <v>4.8003949519999995</v>
      </c>
      <c r="G18" s="1327">
        <v>4.8003949519999995</v>
      </c>
      <c r="H18" s="1329">
        <f t="shared" si="0"/>
        <v>0</v>
      </c>
      <c r="I18" s="1329">
        <v>0</v>
      </c>
      <c r="J18" s="1329">
        <v>0</v>
      </c>
      <c r="K18" s="1329"/>
      <c r="L18" s="1329"/>
      <c r="M18" s="1329">
        <f t="shared" si="1"/>
        <v>0</v>
      </c>
      <c r="N18" s="1329">
        <f t="shared" si="2"/>
        <v>0</v>
      </c>
      <c r="O18" s="1159">
        <f t="shared" si="3"/>
        <v>0</v>
      </c>
      <c r="P18" s="1014">
        <f t="shared" si="4"/>
        <v>0</v>
      </c>
    </row>
    <row r="19" spans="1:16" s="1013" customFormat="1" ht="31" outlineLevel="1" x14ac:dyDescent="0.25">
      <c r="A19" s="1153">
        <v>14</v>
      </c>
      <c r="B19" s="1154" t="s">
        <v>922</v>
      </c>
      <c r="C19" s="1153" t="s">
        <v>923</v>
      </c>
      <c r="D19" s="1325">
        <v>44029</v>
      </c>
      <c r="E19" s="1326">
        <v>1.9079999999999999</v>
      </c>
      <c r="F19" s="1327">
        <v>0</v>
      </c>
      <c r="G19" s="1327">
        <v>0</v>
      </c>
      <c r="H19" s="1327">
        <f t="shared" si="0"/>
        <v>0</v>
      </c>
      <c r="I19" s="1327">
        <v>0</v>
      </c>
      <c r="J19" s="1327">
        <v>0</v>
      </c>
      <c r="K19" s="1327"/>
      <c r="L19" s="1327"/>
      <c r="M19" s="1327">
        <f t="shared" si="1"/>
        <v>0</v>
      </c>
      <c r="N19" s="1327">
        <f t="shared" si="2"/>
        <v>0</v>
      </c>
      <c r="O19" s="1159">
        <f t="shared" si="3"/>
        <v>0</v>
      </c>
      <c r="P19" s="1014">
        <f t="shared" si="4"/>
        <v>0</v>
      </c>
    </row>
    <row r="20" spans="1:16" ht="31" outlineLevel="1" x14ac:dyDescent="0.25">
      <c r="A20" s="1160">
        <v>14.1</v>
      </c>
      <c r="B20" s="1328" t="s">
        <v>1498</v>
      </c>
      <c r="C20" s="1160" t="s">
        <v>923</v>
      </c>
      <c r="D20" s="1010">
        <v>44029</v>
      </c>
      <c r="E20" s="1329">
        <v>0.39500000000000002</v>
      </c>
      <c r="F20" s="1327">
        <v>0</v>
      </c>
      <c r="G20" s="1327">
        <v>0</v>
      </c>
      <c r="H20" s="1329">
        <f t="shared" si="0"/>
        <v>0</v>
      </c>
      <c r="I20" s="1329">
        <v>0.26762399999999997</v>
      </c>
      <c r="J20" s="1329">
        <v>0.26762399999999997</v>
      </c>
      <c r="K20" s="1329"/>
      <c r="L20" s="1329"/>
      <c r="M20" s="1329">
        <f t="shared" si="1"/>
        <v>0.26762399999999997</v>
      </c>
      <c r="N20" s="1329">
        <f t="shared" si="2"/>
        <v>0</v>
      </c>
      <c r="O20" s="1159">
        <f t="shared" si="3"/>
        <v>0.26762399999999997</v>
      </c>
      <c r="P20" s="1014">
        <f t="shared" si="4"/>
        <v>0</v>
      </c>
    </row>
    <row r="21" spans="1:16" ht="31" outlineLevel="1" x14ac:dyDescent="0.25">
      <c r="A21" s="1160">
        <v>14.3</v>
      </c>
      <c r="B21" s="1328" t="s">
        <v>924</v>
      </c>
      <c r="C21" s="1160" t="s">
        <v>923</v>
      </c>
      <c r="D21" s="1010">
        <v>44029</v>
      </c>
      <c r="E21" s="1329">
        <v>0.10199999999999999</v>
      </c>
      <c r="F21" s="1327">
        <v>9.6156000000000005E-2</v>
      </c>
      <c r="G21" s="1327">
        <v>0</v>
      </c>
      <c r="H21" s="1329">
        <f t="shared" si="0"/>
        <v>9.6156000000000005E-2</v>
      </c>
      <c r="I21" s="1329">
        <v>0</v>
      </c>
      <c r="J21" s="1329">
        <v>7.969248000000001E-2</v>
      </c>
      <c r="K21" s="1329"/>
      <c r="L21" s="1329"/>
      <c r="M21" s="1329">
        <f t="shared" si="1"/>
        <v>7.969248000000001E-2</v>
      </c>
      <c r="N21" s="1329">
        <f t="shared" si="2"/>
        <v>1.6463519999999995E-2</v>
      </c>
      <c r="O21" s="1159">
        <f t="shared" si="3"/>
        <v>7.969248000000001E-2</v>
      </c>
      <c r="P21" s="1014">
        <f t="shared" si="4"/>
        <v>0</v>
      </c>
    </row>
    <row r="22" spans="1:16" ht="31" outlineLevel="1" x14ac:dyDescent="0.25">
      <c r="A22" s="1160">
        <v>14.4</v>
      </c>
      <c r="B22" s="1328" t="s">
        <v>925</v>
      </c>
      <c r="C22" s="1160" t="s">
        <v>923</v>
      </c>
      <c r="D22" s="1010">
        <v>44029</v>
      </c>
      <c r="E22" s="1329">
        <v>0.56100000000000005</v>
      </c>
      <c r="F22" s="1327">
        <v>0.2723912</v>
      </c>
      <c r="G22" s="1327">
        <v>0.2723912</v>
      </c>
      <c r="H22" s="1329">
        <f t="shared" si="0"/>
        <v>0</v>
      </c>
      <c r="I22" s="1329">
        <v>0</v>
      </c>
      <c r="J22" s="1329">
        <v>0</v>
      </c>
      <c r="K22" s="1329"/>
      <c r="L22" s="1329"/>
      <c r="M22" s="1329">
        <f t="shared" si="1"/>
        <v>0</v>
      </c>
      <c r="N22" s="1329">
        <f t="shared" si="2"/>
        <v>0</v>
      </c>
      <c r="O22" s="1159">
        <f t="shared" si="3"/>
        <v>0</v>
      </c>
      <c r="P22" s="1014">
        <f t="shared" si="4"/>
        <v>0</v>
      </c>
    </row>
    <row r="23" spans="1:16" ht="15.5" outlineLevel="1" x14ac:dyDescent="0.25">
      <c r="A23" s="1160">
        <v>0</v>
      </c>
      <c r="B23" s="1328" t="s">
        <v>419</v>
      </c>
      <c r="C23" s="1160" t="s">
        <v>923</v>
      </c>
      <c r="D23" s="1010">
        <v>44029</v>
      </c>
      <c r="E23" s="1329">
        <v>0.85</v>
      </c>
      <c r="F23" s="1327">
        <v>0</v>
      </c>
      <c r="G23" s="1327">
        <v>0</v>
      </c>
      <c r="H23" s="1329">
        <f t="shared" si="0"/>
        <v>0</v>
      </c>
      <c r="I23" s="1329">
        <v>0</v>
      </c>
      <c r="J23" s="1329">
        <v>0</v>
      </c>
      <c r="K23" s="1329"/>
      <c r="L23" s="1329"/>
      <c r="M23" s="1329">
        <f t="shared" si="1"/>
        <v>0</v>
      </c>
      <c r="N23" s="1329">
        <f t="shared" si="2"/>
        <v>0</v>
      </c>
      <c r="O23" s="1159">
        <f t="shared" si="3"/>
        <v>0</v>
      </c>
      <c r="P23" s="1014">
        <f t="shared" si="4"/>
        <v>0</v>
      </c>
    </row>
    <row r="24" spans="1:16" s="1013" customFormat="1" ht="31" outlineLevel="1" x14ac:dyDescent="0.25">
      <c r="A24" s="1153">
        <v>16</v>
      </c>
      <c r="B24" s="1154" t="s">
        <v>926</v>
      </c>
      <c r="C24" s="1153" t="s">
        <v>927</v>
      </c>
      <c r="D24" s="1325">
        <v>44037</v>
      </c>
      <c r="E24" s="1326">
        <v>10.861000000000001</v>
      </c>
      <c r="F24" s="1327">
        <v>0</v>
      </c>
      <c r="G24" s="1327">
        <v>0</v>
      </c>
      <c r="H24" s="1327">
        <f t="shared" si="0"/>
        <v>0</v>
      </c>
      <c r="I24" s="1327">
        <v>0</v>
      </c>
      <c r="J24" s="1327">
        <v>0</v>
      </c>
      <c r="K24" s="1327"/>
      <c r="L24" s="1327"/>
      <c r="M24" s="1327">
        <f t="shared" si="1"/>
        <v>0</v>
      </c>
      <c r="N24" s="1327">
        <f t="shared" si="2"/>
        <v>0</v>
      </c>
      <c r="O24" s="1159">
        <f t="shared" si="3"/>
        <v>0</v>
      </c>
      <c r="P24" s="1014">
        <f t="shared" si="4"/>
        <v>0</v>
      </c>
    </row>
    <row r="25" spans="1:16" ht="31" outlineLevel="1" x14ac:dyDescent="0.25">
      <c r="A25" s="1160">
        <v>16.100000000000001</v>
      </c>
      <c r="B25" s="1328" t="s">
        <v>928</v>
      </c>
      <c r="C25" s="1160" t="s">
        <v>927</v>
      </c>
      <c r="D25" s="1010">
        <v>44037</v>
      </c>
      <c r="E25" s="1329">
        <v>0.95099999999999996</v>
      </c>
      <c r="F25" s="1327">
        <v>0</v>
      </c>
      <c r="G25" s="1327">
        <v>0</v>
      </c>
      <c r="H25" s="1329">
        <f t="shared" si="0"/>
        <v>0</v>
      </c>
      <c r="I25" s="1329">
        <v>0</v>
      </c>
      <c r="J25" s="1329">
        <v>0</v>
      </c>
      <c r="K25" s="1329"/>
      <c r="L25" s="1329"/>
      <c r="M25" s="1329">
        <f t="shared" si="1"/>
        <v>0</v>
      </c>
      <c r="N25" s="1329">
        <f t="shared" si="2"/>
        <v>0</v>
      </c>
      <c r="O25" s="1159">
        <f t="shared" si="3"/>
        <v>0</v>
      </c>
      <c r="P25" s="1014">
        <f t="shared" si="4"/>
        <v>0</v>
      </c>
    </row>
    <row r="26" spans="1:16" ht="62" outlineLevel="1" x14ac:dyDescent="0.25">
      <c r="A26" s="1160">
        <v>16.2</v>
      </c>
      <c r="B26" s="1328" t="s">
        <v>1497</v>
      </c>
      <c r="C26" s="1160" t="s">
        <v>927</v>
      </c>
      <c r="D26" s="1010">
        <v>44037</v>
      </c>
      <c r="E26" s="1329">
        <v>0.29199999999999998</v>
      </c>
      <c r="F26" s="1327">
        <v>0.25256440000000002</v>
      </c>
      <c r="G26" s="1327">
        <v>0.25256440000000002</v>
      </c>
      <c r="H26" s="1329">
        <f t="shared" si="0"/>
        <v>0</v>
      </c>
      <c r="I26" s="1329">
        <v>0</v>
      </c>
      <c r="J26" s="1329">
        <v>0</v>
      </c>
      <c r="K26" s="1329"/>
      <c r="L26" s="1329"/>
      <c r="M26" s="1329">
        <f t="shared" si="1"/>
        <v>0</v>
      </c>
      <c r="N26" s="1329">
        <f t="shared" si="2"/>
        <v>0</v>
      </c>
      <c r="O26" s="1159">
        <f t="shared" si="3"/>
        <v>0</v>
      </c>
      <c r="P26" s="1014">
        <f t="shared" si="4"/>
        <v>0</v>
      </c>
    </row>
    <row r="27" spans="1:16" ht="46.5" outlineLevel="1" x14ac:dyDescent="0.25">
      <c r="A27" s="1160">
        <v>16.399999999999999</v>
      </c>
      <c r="B27" s="1328" t="s">
        <v>929</v>
      </c>
      <c r="C27" s="1160" t="s">
        <v>927</v>
      </c>
      <c r="D27" s="1010">
        <v>44037</v>
      </c>
      <c r="E27" s="1329">
        <v>0.89999999999999991</v>
      </c>
      <c r="F27" s="1327">
        <v>0</v>
      </c>
      <c r="G27" s="1327">
        <v>0</v>
      </c>
      <c r="H27" s="1329">
        <f t="shared" si="0"/>
        <v>0</v>
      </c>
      <c r="I27" s="1329">
        <v>0</v>
      </c>
      <c r="J27" s="1329">
        <v>0</v>
      </c>
      <c r="K27" s="1329"/>
      <c r="L27" s="1329"/>
      <c r="M27" s="1329">
        <f t="shared" si="1"/>
        <v>0</v>
      </c>
      <c r="N27" s="1329">
        <f t="shared" si="2"/>
        <v>0</v>
      </c>
      <c r="O27" s="1159">
        <f t="shared" si="3"/>
        <v>0</v>
      </c>
      <c r="P27" s="1014">
        <f t="shared" si="4"/>
        <v>0</v>
      </c>
    </row>
    <row r="28" spans="1:16" ht="31" outlineLevel="1" x14ac:dyDescent="0.25">
      <c r="A28" s="1160">
        <v>16.5</v>
      </c>
      <c r="B28" s="1328" t="s">
        <v>1496</v>
      </c>
      <c r="C28" s="1160" t="s">
        <v>927</v>
      </c>
      <c r="D28" s="1010">
        <v>44037</v>
      </c>
      <c r="E28" s="1329">
        <v>4.657</v>
      </c>
      <c r="F28" s="1327">
        <v>3.0185933999999999</v>
      </c>
      <c r="G28" s="1327">
        <v>0</v>
      </c>
      <c r="H28" s="1329">
        <f t="shared" si="0"/>
        <v>3.0185933999999999</v>
      </c>
      <c r="I28" s="1329">
        <v>1.4337</v>
      </c>
      <c r="J28" s="1329">
        <v>4.4592022</v>
      </c>
      <c r="K28" s="1329"/>
      <c r="L28" s="1329"/>
      <c r="M28" s="1329">
        <f t="shared" si="1"/>
        <v>4.4592022</v>
      </c>
      <c r="N28" s="1329">
        <f t="shared" si="2"/>
        <v>-6.9087999999997152E-3</v>
      </c>
      <c r="O28" s="1159">
        <f t="shared" si="3"/>
        <v>4.4592022</v>
      </c>
      <c r="P28" s="1014">
        <f t="shared" si="4"/>
        <v>0</v>
      </c>
    </row>
    <row r="29" spans="1:16" ht="46.5" outlineLevel="1" x14ac:dyDescent="0.25">
      <c r="A29" s="1160">
        <v>16.600000000000001</v>
      </c>
      <c r="B29" s="1328" t="s">
        <v>1495</v>
      </c>
      <c r="C29" s="1160" t="s">
        <v>927</v>
      </c>
      <c r="D29" s="1010">
        <v>44037</v>
      </c>
      <c r="E29" s="1329">
        <v>3.6220000000000003</v>
      </c>
      <c r="F29" s="1327">
        <v>0</v>
      </c>
      <c r="G29" s="1327">
        <v>0</v>
      </c>
      <c r="H29" s="1329">
        <f t="shared" si="0"/>
        <v>0</v>
      </c>
      <c r="I29" s="1329">
        <v>0</v>
      </c>
      <c r="J29" s="1329">
        <v>0</v>
      </c>
      <c r="K29" s="1329"/>
      <c r="L29" s="1329"/>
      <c r="M29" s="1329">
        <f t="shared" si="1"/>
        <v>0</v>
      </c>
      <c r="N29" s="1329">
        <f t="shared" si="2"/>
        <v>0</v>
      </c>
      <c r="O29" s="1159">
        <f t="shared" si="3"/>
        <v>0</v>
      </c>
      <c r="P29" s="1014">
        <f t="shared" si="4"/>
        <v>0</v>
      </c>
    </row>
    <row r="30" spans="1:16" ht="31" outlineLevel="1" x14ac:dyDescent="0.25">
      <c r="A30" s="1160">
        <v>0</v>
      </c>
      <c r="B30" s="1328" t="s">
        <v>419</v>
      </c>
      <c r="C30" s="1160" t="s">
        <v>927</v>
      </c>
      <c r="D30" s="1010">
        <v>44037</v>
      </c>
      <c r="E30" s="1329">
        <v>0.439</v>
      </c>
      <c r="F30" s="1327">
        <v>0</v>
      </c>
      <c r="G30" s="1327">
        <v>0</v>
      </c>
      <c r="H30" s="1329">
        <f t="shared" si="0"/>
        <v>0</v>
      </c>
      <c r="I30" s="1329">
        <v>0</v>
      </c>
      <c r="J30" s="1329">
        <v>0</v>
      </c>
      <c r="K30" s="1329"/>
      <c r="L30" s="1329"/>
      <c r="M30" s="1329">
        <f t="shared" si="1"/>
        <v>0</v>
      </c>
      <c r="N30" s="1329">
        <f t="shared" si="2"/>
        <v>0</v>
      </c>
      <c r="O30" s="1159">
        <f t="shared" si="3"/>
        <v>0</v>
      </c>
      <c r="P30" s="1014">
        <f t="shared" si="4"/>
        <v>0</v>
      </c>
    </row>
    <row r="31" spans="1:16" ht="31" outlineLevel="1" x14ac:dyDescent="0.25">
      <c r="A31" s="1015">
        <v>17</v>
      </c>
      <c r="B31" s="1016" t="s">
        <v>1492</v>
      </c>
      <c r="C31" s="1015" t="s">
        <v>1494</v>
      </c>
      <c r="D31" s="1010" t="s">
        <v>915</v>
      </c>
      <c r="E31" s="1330">
        <v>0</v>
      </c>
      <c r="F31" s="1327">
        <v>0</v>
      </c>
      <c r="G31" s="1327">
        <v>0</v>
      </c>
      <c r="H31" s="1329">
        <f t="shared" si="0"/>
        <v>0</v>
      </c>
      <c r="I31" s="1329">
        <v>0</v>
      </c>
      <c r="J31" s="1329">
        <v>0</v>
      </c>
      <c r="K31" s="1329"/>
      <c r="L31" s="1329"/>
      <c r="M31" s="1329">
        <f t="shared" si="1"/>
        <v>0</v>
      </c>
      <c r="N31" s="1329">
        <f t="shared" si="2"/>
        <v>0</v>
      </c>
      <c r="O31" s="1159">
        <f t="shared" si="3"/>
        <v>0</v>
      </c>
      <c r="P31" s="1014">
        <f t="shared" si="4"/>
        <v>0</v>
      </c>
    </row>
    <row r="32" spans="1:16" ht="31" outlineLevel="1" x14ac:dyDescent="0.25">
      <c r="A32" s="1015">
        <v>17.100000000000001</v>
      </c>
      <c r="B32" s="1016" t="s">
        <v>1492</v>
      </c>
      <c r="C32" s="1015" t="s">
        <v>1494</v>
      </c>
      <c r="D32" s="1010" t="s">
        <v>915</v>
      </c>
      <c r="E32" s="1330">
        <v>0</v>
      </c>
      <c r="F32" s="1327">
        <v>0</v>
      </c>
      <c r="G32" s="1327">
        <v>0</v>
      </c>
      <c r="H32" s="1329">
        <f t="shared" si="0"/>
        <v>0</v>
      </c>
      <c r="I32" s="1329">
        <v>12.06</v>
      </c>
      <c r="J32" s="1329">
        <v>0</v>
      </c>
      <c r="K32" s="1329"/>
      <c r="L32" s="1329"/>
      <c r="M32" s="1329">
        <f t="shared" si="1"/>
        <v>0</v>
      </c>
      <c r="N32" s="1329">
        <f t="shared" si="2"/>
        <v>12.06</v>
      </c>
      <c r="O32" s="1159">
        <f t="shared" si="3"/>
        <v>0</v>
      </c>
      <c r="P32" s="1014">
        <f t="shared" si="4"/>
        <v>0</v>
      </c>
    </row>
    <row r="33" spans="1:14" ht="15.5" outlineLevel="1" x14ac:dyDescent="0.25">
      <c r="A33" s="1015">
        <v>0</v>
      </c>
      <c r="B33" s="1016" t="s">
        <v>930</v>
      </c>
      <c r="C33" s="1015">
        <v>0</v>
      </c>
      <c r="D33" s="1010" t="s">
        <v>915</v>
      </c>
      <c r="E33" s="1330">
        <v>0</v>
      </c>
      <c r="F33" s="1327">
        <v>0</v>
      </c>
      <c r="G33" s="1327">
        <v>0</v>
      </c>
      <c r="H33" s="1329">
        <f t="shared" si="0"/>
        <v>0</v>
      </c>
      <c r="I33" s="1329">
        <v>0</v>
      </c>
      <c r="J33" s="1329">
        <v>0</v>
      </c>
      <c r="K33" s="1329"/>
      <c r="L33" s="1329"/>
      <c r="M33" s="1329">
        <f t="shared" si="1"/>
        <v>0</v>
      </c>
      <c r="N33" s="1329">
        <f t="shared" si="2"/>
        <v>0</v>
      </c>
    </row>
    <row r="34" spans="1:14" ht="15.5" outlineLevel="1" x14ac:dyDescent="0.25">
      <c r="A34" s="1015">
        <v>1</v>
      </c>
      <c r="B34" s="1016" t="s">
        <v>1491</v>
      </c>
      <c r="C34" s="1015" t="s">
        <v>930</v>
      </c>
      <c r="D34" s="1010" t="s">
        <v>915</v>
      </c>
      <c r="E34" s="1330">
        <v>0</v>
      </c>
      <c r="F34" s="1327">
        <v>0</v>
      </c>
      <c r="G34" s="1327">
        <v>0</v>
      </c>
      <c r="H34" s="1329">
        <f t="shared" si="0"/>
        <v>0</v>
      </c>
      <c r="I34" s="1329">
        <v>0</v>
      </c>
      <c r="J34" s="1329">
        <v>0</v>
      </c>
      <c r="K34" s="1329"/>
      <c r="L34" s="1329"/>
      <c r="M34" s="1329">
        <f t="shared" si="1"/>
        <v>0</v>
      </c>
      <c r="N34" s="1329">
        <f t="shared" si="2"/>
        <v>0</v>
      </c>
    </row>
    <row r="35" spans="1:14" ht="31" outlineLevel="1" x14ac:dyDescent="0.25">
      <c r="A35" s="1015">
        <v>1.1000000000000001</v>
      </c>
      <c r="B35" s="1016" t="s">
        <v>1490</v>
      </c>
      <c r="C35" s="1015" t="s">
        <v>930</v>
      </c>
      <c r="D35" s="1010" t="s">
        <v>915</v>
      </c>
      <c r="E35" s="1330">
        <v>0</v>
      </c>
      <c r="F35" s="1327">
        <v>0</v>
      </c>
      <c r="G35" s="1327">
        <v>0</v>
      </c>
      <c r="H35" s="1329">
        <f t="shared" si="0"/>
        <v>0</v>
      </c>
      <c r="I35" s="1329">
        <v>0</v>
      </c>
      <c r="J35" s="1329">
        <v>0</v>
      </c>
      <c r="K35" s="1329"/>
      <c r="L35" s="1329"/>
      <c r="M35" s="1329">
        <f t="shared" si="1"/>
        <v>0</v>
      </c>
      <c r="N35" s="1329">
        <f t="shared" si="2"/>
        <v>0</v>
      </c>
    </row>
    <row r="36" spans="1:14" ht="31" outlineLevel="1" x14ac:dyDescent="0.25">
      <c r="A36" s="1015">
        <v>1.2</v>
      </c>
      <c r="B36" s="1016" t="s">
        <v>1489</v>
      </c>
      <c r="C36" s="1015" t="s">
        <v>930</v>
      </c>
      <c r="D36" s="1010" t="s">
        <v>915</v>
      </c>
      <c r="E36" s="1330">
        <v>0</v>
      </c>
      <c r="F36" s="1327">
        <v>0</v>
      </c>
      <c r="G36" s="1327">
        <v>0</v>
      </c>
      <c r="H36" s="1329">
        <f t="shared" si="0"/>
        <v>0</v>
      </c>
      <c r="I36" s="1329">
        <v>0</v>
      </c>
      <c r="J36" s="1329">
        <v>0</v>
      </c>
      <c r="K36" s="1329"/>
      <c r="L36" s="1329"/>
      <c r="M36" s="1329">
        <f t="shared" si="1"/>
        <v>0</v>
      </c>
      <c r="N36" s="1329">
        <f t="shared" si="2"/>
        <v>0</v>
      </c>
    </row>
    <row r="37" spans="1:14" ht="46.5" outlineLevel="1" x14ac:dyDescent="0.25">
      <c r="A37" s="1015">
        <v>1.3</v>
      </c>
      <c r="B37" s="1016" t="s">
        <v>1488</v>
      </c>
      <c r="C37" s="1015" t="s">
        <v>930</v>
      </c>
      <c r="D37" s="1010" t="s">
        <v>915</v>
      </c>
      <c r="E37" s="1330">
        <v>0</v>
      </c>
      <c r="F37" s="1327">
        <v>0</v>
      </c>
      <c r="G37" s="1327">
        <v>0</v>
      </c>
      <c r="H37" s="1329">
        <f t="shared" si="0"/>
        <v>0</v>
      </c>
      <c r="I37" s="1329">
        <v>0</v>
      </c>
      <c r="J37" s="1329">
        <v>0</v>
      </c>
      <c r="K37" s="1329"/>
      <c r="L37" s="1329"/>
      <c r="M37" s="1329">
        <f t="shared" si="1"/>
        <v>0</v>
      </c>
      <c r="N37" s="1329">
        <f t="shared" si="2"/>
        <v>0</v>
      </c>
    </row>
    <row r="38" spans="1:14" ht="31" outlineLevel="1" x14ac:dyDescent="0.25">
      <c r="A38" s="1015">
        <v>1.4</v>
      </c>
      <c r="B38" s="1016" t="s">
        <v>1487</v>
      </c>
      <c r="C38" s="1015" t="s">
        <v>930</v>
      </c>
      <c r="D38" s="1010" t="s">
        <v>915</v>
      </c>
      <c r="E38" s="1330">
        <v>0</v>
      </c>
      <c r="F38" s="1327">
        <v>0</v>
      </c>
      <c r="G38" s="1327">
        <v>0</v>
      </c>
      <c r="H38" s="1329">
        <f t="shared" si="0"/>
        <v>0</v>
      </c>
      <c r="I38" s="1329">
        <v>0</v>
      </c>
      <c r="J38" s="1329">
        <v>0</v>
      </c>
      <c r="K38" s="1329"/>
      <c r="L38" s="1329"/>
      <c r="M38" s="1329">
        <f t="shared" si="1"/>
        <v>0</v>
      </c>
      <c r="N38" s="1329">
        <f t="shared" si="2"/>
        <v>0</v>
      </c>
    </row>
    <row r="39" spans="1:14" ht="51" customHeight="1" outlineLevel="1" x14ac:dyDescent="0.25">
      <c r="A39" s="1015">
        <v>1.5</v>
      </c>
      <c r="B39" s="1016" t="s">
        <v>1486</v>
      </c>
      <c r="C39" s="1015" t="s">
        <v>930</v>
      </c>
      <c r="D39" s="1010" t="s">
        <v>915</v>
      </c>
      <c r="E39" s="1330">
        <v>0</v>
      </c>
      <c r="F39" s="1327">
        <v>0</v>
      </c>
      <c r="G39" s="1327">
        <v>0</v>
      </c>
      <c r="H39" s="1329">
        <f t="shared" si="0"/>
        <v>0</v>
      </c>
      <c r="I39" s="1329">
        <v>0</v>
      </c>
      <c r="J39" s="1329">
        <v>0</v>
      </c>
      <c r="K39" s="1329"/>
      <c r="L39" s="1329"/>
      <c r="M39" s="1329">
        <f t="shared" si="1"/>
        <v>0</v>
      </c>
      <c r="N39" s="1329">
        <f t="shared" si="2"/>
        <v>0</v>
      </c>
    </row>
    <row r="40" spans="1:14" ht="15.5" outlineLevel="1" x14ac:dyDescent="0.25">
      <c r="A40" s="1015">
        <v>0</v>
      </c>
      <c r="B40" s="1016" t="s">
        <v>1485</v>
      </c>
      <c r="C40" s="1015">
        <v>0</v>
      </c>
      <c r="D40" s="1010" t="s">
        <v>915</v>
      </c>
      <c r="E40" s="1330">
        <v>0</v>
      </c>
      <c r="F40" s="1327">
        <v>0</v>
      </c>
      <c r="G40" s="1327">
        <v>0</v>
      </c>
      <c r="H40" s="1329">
        <f t="shared" si="0"/>
        <v>0</v>
      </c>
      <c r="I40" s="1329">
        <v>0</v>
      </c>
      <c r="J40" s="1329">
        <v>0</v>
      </c>
      <c r="K40" s="1329"/>
      <c r="L40" s="1329"/>
      <c r="M40" s="1329">
        <f t="shared" si="1"/>
        <v>0</v>
      </c>
      <c r="N40" s="1329">
        <f t="shared" si="2"/>
        <v>0</v>
      </c>
    </row>
    <row r="41" spans="1:14" ht="15.5" outlineLevel="1" x14ac:dyDescent="0.25">
      <c r="A41" s="1015">
        <v>0</v>
      </c>
      <c r="B41" s="1016" t="s">
        <v>1484</v>
      </c>
      <c r="C41" s="1015" t="s">
        <v>930</v>
      </c>
      <c r="D41" s="1010" t="s">
        <v>915</v>
      </c>
      <c r="E41" s="1330">
        <v>0</v>
      </c>
      <c r="F41" s="1327">
        <v>0</v>
      </c>
      <c r="G41" s="1327">
        <v>0</v>
      </c>
      <c r="H41" s="1329">
        <f t="shared" si="0"/>
        <v>0</v>
      </c>
      <c r="I41" s="1329">
        <v>0</v>
      </c>
      <c r="J41" s="1329">
        <v>0</v>
      </c>
      <c r="K41" s="1329"/>
      <c r="L41" s="1329"/>
      <c r="M41" s="1329">
        <f t="shared" si="1"/>
        <v>0</v>
      </c>
      <c r="N41" s="1329">
        <f t="shared" si="2"/>
        <v>0</v>
      </c>
    </row>
    <row r="42" spans="1:14" ht="31" outlineLevel="1" x14ac:dyDescent="0.25">
      <c r="A42" s="1015">
        <v>0</v>
      </c>
      <c r="B42" s="1016" t="s">
        <v>1483</v>
      </c>
      <c r="C42" s="1015" t="s">
        <v>930</v>
      </c>
      <c r="D42" s="1010" t="s">
        <v>915</v>
      </c>
      <c r="E42" s="1330">
        <v>0</v>
      </c>
      <c r="F42" s="1327">
        <v>0</v>
      </c>
      <c r="G42" s="1327">
        <v>0</v>
      </c>
      <c r="H42" s="1329">
        <f t="shared" si="0"/>
        <v>0</v>
      </c>
      <c r="I42" s="1329">
        <v>0</v>
      </c>
      <c r="J42" s="1329">
        <v>0</v>
      </c>
      <c r="K42" s="1329"/>
      <c r="L42" s="1329"/>
      <c r="M42" s="1329">
        <f t="shared" si="1"/>
        <v>0</v>
      </c>
      <c r="N42" s="1329">
        <f t="shared" si="2"/>
        <v>0</v>
      </c>
    </row>
    <row r="43" spans="1:14" ht="31" outlineLevel="1" x14ac:dyDescent="0.25">
      <c r="A43" s="1015">
        <v>0</v>
      </c>
      <c r="B43" s="1016" t="s">
        <v>1482</v>
      </c>
      <c r="C43" s="1015" t="s">
        <v>930</v>
      </c>
      <c r="D43" s="1010" t="s">
        <v>915</v>
      </c>
      <c r="E43" s="1330">
        <v>0</v>
      </c>
      <c r="F43" s="1327">
        <v>0</v>
      </c>
      <c r="G43" s="1327">
        <v>0</v>
      </c>
      <c r="H43" s="1329">
        <f t="shared" si="0"/>
        <v>0</v>
      </c>
      <c r="I43" s="1329">
        <v>0</v>
      </c>
      <c r="J43" s="1329">
        <v>0</v>
      </c>
      <c r="K43" s="1329"/>
      <c r="L43" s="1329"/>
      <c r="M43" s="1329">
        <f t="shared" si="1"/>
        <v>0</v>
      </c>
      <c r="N43" s="1329">
        <f t="shared" si="2"/>
        <v>0</v>
      </c>
    </row>
    <row r="44" spans="1:14" ht="31" outlineLevel="1" x14ac:dyDescent="0.25">
      <c r="A44" s="1015">
        <v>0</v>
      </c>
      <c r="B44" s="1016" t="s">
        <v>1481</v>
      </c>
      <c r="C44" s="1015" t="s">
        <v>930</v>
      </c>
      <c r="D44" s="1010" t="s">
        <v>915</v>
      </c>
      <c r="E44" s="1330">
        <v>0</v>
      </c>
      <c r="F44" s="1327">
        <v>0</v>
      </c>
      <c r="G44" s="1327">
        <v>0</v>
      </c>
      <c r="H44" s="1329">
        <f t="shared" si="0"/>
        <v>0</v>
      </c>
      <c r="I44" s="1329">
        <v>0</v>
      </c>
      <c r="J44" s="1329">
        <v>0</v>
      </c>
      <c r="K44" s="1329"/>
      <c r="L44" s="1329"/>
      <c r="M44" s="1329">
        <f t="shared" si="1"/>
        <v>0</v>
      </c>
      <c r="N44" s="1329">
        <f t="shared" si="2"/>
        <v>0</v>
      </c>
    </row>
    <row r="45" spans="1:14" ht="15.5" outlineLevel="1" x14ac:dyDescent="0.25">
      <c r="A45" s="1015">
        <v>0</v>
      </c>
      <c r="B45" s="1016" t="s">
        <v>1480</v>
      </c>
      <c r="C45" s="1015" t="s">
        <v>930</v>
      </c>
      <c r="D45" s="1010" t="s">
        <v>915</v>
      </c>
      <c r="E45" s="1330">
        <v>0</v>
      </c>
      <c r="F45" s="1327">
        <v>0</v>
      </c>
      <c r="G45" s="1327">
        <v>0</v>
      </c>
      <c r="H45" s="1329">
        <f t="shared" si="0"/>
        <v>0</v>
      </c>
      <c r="I45" s="1329">
        <v>0</v>
      </c>
      <c r="J45" s="1329">
        <v>0</v>
      </c>
      <c r="K45" s="1329"/>
      <c r="L45" s="1329"/>
      <c r="M45" s="1329">
        <f t="shared" si="1"/>
        <v>0</v>
      </c>
      <c r="N45" s="1329">
        <f t="shared" si="2"/>
        <v>0</v>
      </c>
    </row>
    <row r="46" spans="1:14" ht="15.5" outlineLevel="1" x14ac:dyDescent="0.25">
      <c r="A46" s="1015">
        <v>1.7</v>
      </c>
      <c r="B46" s="1016" t="s">
        <v>1479</v>
      </c>
      <c r="C46" s="1015">
        <v>0</v>
      </c>
      <c r="D46" s="1010" t="s">
        <v>915</v>
      </c>
      <c r="E46" s="1330">
        <v>0</v>
      </c>
      <c r="F46" s="1327">
        <v>0</v>
      </c>
      <c r="G46" s="1327">
        <v>0</v>
      </c>
      <c r="H46" s="1329">
        <f t="shared" si="0"/>
        <v>0</v>
      </c>
      <c r="I46" s="1329">
        <v>0</v>
      </c>
      <c r="J46" s="1329">
        <v>0</v>
      </c>
      <c r="K46" s="1329"/>
      <c r="L46" s="1329"/>
      <c r="M46" s="1329">
        <f t="shared" si="1"/>
        <v>0</v>
      </c>
      <c r="N46" s="1329">
        <f t="shared" si="2"/>
        <v>0</v>
      </c>
    </row>
    <row r="47" spans="1:14" ht="31" outlineLevel="1" x14ac:dyDescent="0.25">
      <c r="A47" s="1015">
        <v>0</v>
      </c>
      <c r="B47" s="1016" t="s">
        <v>1478</v>
      </c>
      <c r="C47" s="1015" t="s">
        <v>930</v>
      </c>
      <c r="D47" s="1010" t="s">
        <v>915</v>
      </c>
      <c r="E47" s="1330">
        <v>0</v>
      </c>
      <c r="F47" s="1327">
        <v>0</v>
      </c>
      <c r="G47" s="1327">
        <v>0</v>
      </c>
      <c r="H47" s="1329">
        <f t="shared" si="0"/>
        <v>0</v>
      </c>
      <c r="I47" s="1329">
        <v>0</v>
      </c>
      <c r="J47" s="1329">
        <v>0</v>
      </c>
      <c r="K47" s="1329"/>
      <c r="L47" s="1329"/>
      <c r="M47" s="1329">
        <f t="shared" si="1"/>
        <v>0</v>
      </c>
      <c r="N47" s="1329">
        <f t="shared" si="2"/>
        <v>0</v>
      </c>
    </row>
    <row r="48" spans="1:14" ht="15.5" outlineLevel="1" x14ac:dyDescent="0.25">
      <c r="A48" s="1015">
        <v>0</v>
      </c>
      <c r="B48" s="1016">
        <v>0</v>
      </c>
      <c r="C48" s="1015">
        <v>0</v>
      </c>
      <c r="D48" s="1010" t="s">
        <v>915</v>
      </c>
      <c r="E48" s="1330">
        <v>0</v>
      </c>
      <c r="F48" s="1327">
        <v>0</v>
      </c>
      <c r="G48" s="1327">
        <v>0</v>
      </c>
      <c r="H48" s="1329">
        <f t="shared" si="0"/>
        <v>0</v>
      </c>
      <c r="I48" s="1329">
        <v>0</v>
      </c>
      <c r="J48" s="1329">
        <v>0</v>
      </c>
      <c r="K48" s="1329"/>
      <c r="L48" s="1329"/>
      <c r="M48" s="1329">
        <f t="shared" si="1"/>
        <v>0</v>
      </c>
      <c r="N48" s="1329">
        <f t="shared" si="2"/>
        <v>0</v>
      </c>
    </row>
    <row r="49" spans="1:16" ht="15.5" outlineLevel="1" x14ac:dyDescent="0.25">
      <c r="A49" s="1011">
        <v>0</v>
      </c>
      <c r="B49" s="1012" t="s">
        <v>931</v>
      </c>
      <c r="C49" s="1011">
        <v>0</v>
      </c>
      <c r="D49" s="1010" t="s">
        <v>915</v>
      </c>
      <c r="E49" s="1330">
        <v>0</v>
      </c>
      <c r="F49" s="1327">
        <v>0</v>
      </c>
      <c r="G49" s="1327">
        <v>0</v>
      </c>
      <c r="H49" s="1329">
        <f t="shared" si="0"/>
        <v>0</v>
      </c>
      <c r="I49" s="1329">
        <v>0</v>
      </c>
      <c r="J49" s="1329">
        <v>0</v>
      </c>
      <c r="K49" s="1329"/>
      <c r="L49" s="1329"/>
      <c r="M49" s="1329">
        <f t="shared" si="1"/>
        <v>0</v>
      </c>
      <c r="N49" s="1329">
        <f t="shared" si="2"/>
        <v>0</v>
      </c>
    </row>
    <row r="50" spans="1:16" ht="31" outlineLevel="1" x14ac:dyDescent="0.25">
      <c r="A50" s="1160">
        <v>1</v>
      </c>
      <c r="B50" s="1328" t="s">
        <v>1477</v>
      </c>
      <c r="C50" s="1160" t="s">
        <v>909</v>
      </c>
      <c r="D50" s="1010" t="s">
        <v>915</v>
      </c>
      <c r="E50" s="1329">
        <v>0</v>
      </c>
      <c r="F50" s="1327">
        <v>0</v>
      </c>
      <c r="G50" s="1327">
        <v>0</v>
      </c>
      <c r="H50" s="1329">
        <f t="shared" si="0"/>
        <v>0</v>
      </c>
      <c r="I50" s="1329">
        <v>0.1138</v>
      </c>
      <c r="J50" s="1329">
        <v>0.1138</v>
      </c>
      <c r="K50" s="1329"/>
      <c r="L50" s="1329"/>
      <c r="M50" s="1329">
        <f t="shared" si="1"/>
        <v>0.1138</v>
      </c>
      <c r="N50" s="1329">
        <f t="shared" si="2"/>
        <v>0</v>
      </c>
    </row>
    <row r="51" spans="1:16" ht="31" outlineLevel="1" x14ac:dyDescent="0.25">
      <c r="A51" s="1160">
        <v>2</v>
      </c>
      <c r="B51" s="1328" t="s">
        <v>1475</v>
      </c>
      <c r="C51" s="1160" t="s">
        <v>909</v>
      </c>
      <c r="D51" s="1010" t="s">
        <v>915</v>
      </c>
      <c r="E51" s="1329">
        <v>0</v>
      </c>
      <c r="F51" s="1327">
        <v>0</v>
      </c>
      <c r="G51" s="1327">
        <v>0</v>
      </c>
      <c r="H51" s="1329">
        <f t="shared" si="0"/>
        <v>0</v>
      </c>
      <c r="I51" s="1329">
        <v>0</v>
      </c>
      <c r="J51" s="1329">
        <v>0</v>
      </c>
      <c r="K51" s="1329"/>
      <c r="L51" s="1329"/>
      <c r="M51" s="1329">
        <f t="shared" si="1"/>
        <v>0</v>
      </c>
      <c r="N51" s="1329">
        <f t="shared" si="2"/>
        <v>0</v>
      </c>
    </row>
    <row r="52" spans="1:16" ht="15.5" outlineLevel="1" x14ac:dyDescent="0.25">
      <c r="A52" s="1160">
        <v>3</v>
      </c>
      <c r="B52" s="1328" t="s">
        <v>1473</v>
      </c>
      <c r="C52" s="1160" t="s">
        <v>909</v>
      </c>
      <c r="D52" s="1010" t="s">
        <v>915</v>
      </c>
      <c r="E52" s="1329">
        <v>0</v>
      </c>
      <c r="F52" s="1327">
        <v>0</v>
      </c>
      <c r="G52" s="1327">
        <v>0</v>
      </c>
      <c r="H52" s="1329">
        <f t="shared" si="0"/>
        <v>0</v>
      </c>
      <c r="I52" s="1329">
        <v>9.8743800000000007E-2</v>
      </c>
      <c r="J52" s="1329">
        <v>9.8743800000000007E-2</v>
      </c>
      <c r="K52" s="1329"/>
      <c r="L52" s="1329"/>
      <c r="M52" s="1329">
        <f t="shared" si="1"/>
        <v>9.8743800000000007E-2</v>
      </c>
      <c r="N52" s="1329">
        <f t="shared" si="2"/>
        <v>0</v>
      </c>
    </row>
    <row r="53" spans="1:16" ht="15.5" outlineLevel="1" x14ac:dyDescent="0.25">
      <c r="A53" s="1160">
        <v>4</v>
      </c>
      <c r="B53" s="1328" t="s">
        <v>932</v>
      </c>
      <c r="C53" s="1160" t="s">
        <v>909</v>
      </c>
      <c r="D53" s="1010" t="s">
        <v>915</v>
      </c>
      <c r="E53" s="1329">
        <v>0</v>
      </c>
      <c r="F53" s="1327">
        <v>1.028507185</v>
      </c>
      <c r="G53" s="1327">
        <v>1.028507185</v>
      </c>
      <c r="H53" s="1329">
        <f t="shared" si="0"/>
        <v>0</v>
      </c>
      <c r="I53" s="1329">
        <v>0</v>
      </c>
      <c r="J53" s="1329">
        <v>0</v>
      </c>
      <c r="K53" s="1329"/>
      <c r="L53" s="1329"/>
      <c r="M53" s="1329">
        <f t="shared" si="1"/>
        <v>0</v>
      </c>
      <c r="N53" s="1329">
        <f t="shared" si="2"/>
        <v>0</v>
      </c>
    </row>
    <row r="54" spans="1:16" ht="15.5" outlineLevel="1" x14ac:dyDescent="0.25">
      <c r="A54" s="1160">
        <v>5</v>
      </c>
      <c r="B54" s="1328" t="s">
        <v>933</v>
      </c>
      <c r="C54" s="1160" t="s">
        <v>909</v>
      </c>
      <c r="D54" s="1010" t="s">
        <v>915</v>
      </c>
      <c r="E54" s="1329">
        <v>0</v>
      </c>
      <c r="F54" s="1327">
        <v>0.12712510999999999</v>
      </c>
      <c r="G54" s="1327">
        <v>0.12712510999999999</v>
      </c>
      <c r="H54" s="1329">
        <f t="shared" si="0"/>
        <v>0</v>
      </c>
      <c r="I54" s="1329">
        <v>3.5999679999999998E-3</v>
      </c>
      <c r="J54" s="1329">
        <v>3.5999679999999998E-3</v>
      </c>
      <c r="K54" s="1329"/>
      <c r="L54" s="1329"/>
      <c r="M54" s="1329">
        <f t="shared" si="1"/>
        <v>3.5999679999999998E-3</v>
      </c>
      <c r="N54" s="1329">
        <f t="shared" si="2"/>
        <v>0</v>
      </c>
    </row>
    <row r="55" spans="1:16" ht="15.5" outlineLevel="1" x14ac:dyDescent="0.25">
      <c r="A55" s="1160">
        <v>6</v>
      </c>
      <c r="B55" s="1328" t="s">
        <v>934</v>
      </c>
      <c r="C55" s="1160" t="s">
        <v>909</v>
      </c>
      <c r="D55" s="1010" t="s">
        <v>915</v>
      </c>
      <c r="E55" s="1329">
        <v>0</v>
      </c>
      <c r="F55" s="1327">
        <v>0.23845998199999999</v>
      </c>
      <c r="G55" s="1327">
        <v>0.23845998199999999</v>
      </c>
      <c r="H55" s="1329">
        <f t="shared" si="0"/>
        <v>0</v>
      </c>
      <c r="I55" s="1329">
        <v>1.3440360000000001E-3</v>
      </c>
      <c r="J55" s="1329">
        <v>1.3440360000000001E-3</v>
      </c>
      <c r="K55" s="1329"/>
      <c r="L55" s="1329"/>
      <c r="M55" s="1329">
        <f t="shared" si="1"/>
        <v>1.3440360000000001E-3</v>
      </c>
      <c r="N55" s="1329">
        <f t="shared" si="2"/>
        <v>0</v>
      </c>
    </row>
    <row r="56" spans="1:16" ht="15.5" outlineLevel="1" x14ac:dyDescent="0.25">
      <c r="A56" s="1160">
        <v>7</v>
      </c>
      <c r="B56" s="1328" t="s">
        <v>1470</v>
      </c>
      <c r="C56" s="1160" t="s">
        <v>909</v>
      </c>
      <c r="D56" s="1010" t="s">
        <v>915</v>
      </c>
      <c r="E56" s="1329">
        <v>0</v>
      </c>
      <c r="F56" s="1327">
        <v>0.17288522700000003</v>
      </c>
      <c r="G56" s="1327">
        <v>0.17288522700000003</v>
      </c>
      <c r="H56" s="1329">
        <f t="shared" si="0"/>
        <v>0</v>
      </c>
      <c r="I56" s="1329">
        <v>0</v>
      </c>
      <c r="J56" s="1329">
        <v>0</v>
      </c>
      <c r="K56" s="1329"/>
      <c r="L56" s="1329"/>
      <c r="M56" s="1329">
        <f t="shared" si="1"/>
        <v>0</v>
      </c>
      <c r="N56" s="1329">
        <f t="shared" si="2"/>
        <v>0</v>
      </c>
    </row>
    <row r="57" spans="1:16" ht="31.5" outlineLevel="1" thickBot="1" x14ac:dyDescent="0.3">
      <c r="A57" s="1160">
        <v>8</v>
      </c>
      <c r="B57" s="1328" t="s">
        <v>1469</v>
      </c>
      <c r="C57" s="1160" t="s">
        <v>909</v>
      </c>
      <c r="D57" s="1010" t="s">
        <v>915</v>
      </c>
      <c r="E57" s="1329">
        <v>0</v>
      </c>
      <c r="F57" s="1327">
        <v>0.33023999999999998</v>
      </c>
      <c r="G57" s="1327">
        <v>0.33023999999999998</v>
      </c>
      <c r="H57" s="1329">
        <f t="shared" si="0"/>
        <v>0</v>
      </c>
      <c r="I57" s="1329">
        <v>0</v>
      </c>
      <c r="J57" s="1329">
        <v>0</v>
      </c>
      <c r="K57" s="1329"/>
      <c r="L57" s="1329"/>
      <c r="M57" s="1329">
        <f t="shared" si="1"/>
        <v>0</v>
      </c>
      <c r="N57" s="1329">
        <f t="shared" si="2"/>
        <v>0</v>
      </c>
    </row>
    <row r="58" spans="1:16" s="1022" customFormat="1" ht="16" thickBot="1" x14ac:dyDescent="0.3">
      <c r="A58" s="1009"/>
      <c r="B58" s="1008" t="s">
        <v>271</v>
      </c>
      <c r="C58" s="1007"/>
      <c r="D58" s="1006"/>
      <c r="E58" s="1331"/>
      <c r="F58" s="1332">
        <f t="shared" ref="F58:N58" si="5">SUM(F10:F57)</f>
        <v>14.843125415000001</v>
      </c>
      <c r="G58" s="1332">
        <f t="shared" si="5"/>
        <v>11.728376015</v>
      </c>
      <c r="H58" s="1332">
        <f t="shared" si="5"/>
        <v>3.1147494</v>
      </c>
      <c r="I58" s="1332">
        <f t="shared" si="5"/>
        <v>13.978811803999999</v>
      </c>
      <c r="J58" s="1332">
        <f t="shared" si="5"/>
        <v>5.0240064840000001</v>
      </c>
      <c r="K58" s="1332">
        <f t="shared" si="5"/>
        <v>0</v>
      </c>
      <c r="L58" s="1332">
        <f t="shared" si="5"/>
        <v>0</v>
      </c>
      <c r="M58" s="1332">
        <f t="shared" si="5"/>
        <v>5.0240064840000001</v>
      </c>
      <c r="N58" s="1332">
        <f t="shared" si="5"/>
        <v>12.069554720000001</v>
      </c>
    </row>
    <row r="59" spans="1:16" ht="15.5" x14ac:dyDescent="0.25">
      <c r="A59" s="1013"/>
      <c r="B59" s="1021"/>
      <c r="C59" s="1020"/>
      <c r="D59" s="1019"/>
      <c r="E59" s="1312"/>
      <c r="F59" s="1333"/>
      <c r="G59" s="1333"/>
      <c r="H59" s="1333"/>
      <c r="I59" s="1333"/>
      <c r="J59" s="1333"/>
      <c r="K59" s="1333"/>
      <c r="L59" s="1333"/>
      <c r="M59" s="1333"/>
      <c r="N59" s="1333"/>
      <c r="O59" s="1013"/>
      <c r="P59" s="1013"/>
    </row>
    <row r="60" spans="1:16" s="1013" customFormat="1" ht="15.5" x14ac:dyDescent="0.25">
      <c r="A60" s="1319"/>
      <c r="B60" s="1018" t="s">
        <v>520</v>
      </c>
      <c r="C60" s="1320"/>
      <c r="D60" s="1321"/>
      <c r="E60" s="1322"/>
      <c r="F60" s="1211"/>
      <c r="G60" s="1211"/>
      <c r="H60" s="1211"/>
      <c r="I60" s="1211"/>
      <c r="J60" s="1211"/>
      <c r="K60" s="1211"/>
      <c r="L60" s="1211"/>
      <c r="M60" s="1211"/>
      <c r="N60" s="1211"/>
    </row>
    <row r="61" spans="1:16" ht="15.5" outlineLevel="1" x14ac:dyDescent="0.35">
      <c r="A61" s="1319"/>
      <c r="B61" s="1017" t="str">
        <f t="shared" ref="B61:E76" si="6">B8</f>
        <v>a) DPR Schemes</v>
      </c>
      <c r="C61" s="1320"/>
      <c r="D61" s="1321"/>
      <c r="E61" s="1322"/>
      <c r="F61" s="1211"/>
      <c r="G61" s="1211"/>
      <c r="H61" s="1211"/>
      <c r="I61" s="1211"/>
      <c r="J61" s="1211"/>
      <c r="K61" s="1211"/>
      <c r="L61" s="1211"/>
      <c r="M61" s="1211"/>
      <c r="N61" s="1211"/>
      <c r="O61" s="1013"/>
      <c r="P61" s="1013"/>
    </row>
    <row r="62" spans="1:16" ht="15.5" outlineLevel="1" x14ac:dyDescent="0.25">
      <c r="A62" s="1150"/>
      <c r="B62" s="1150" t="str">
        <f t="shared" si="6"/>
        <v>(i) Submitted to MERC</v>
      </c>
      <c r="C62" s="1323"/>
      <c r="D62" s="1324"/>
      <c r="E62" s="1322"/>
      <c r="F62" s="1211"/>
      <c r="G62" s="1211"/>
      <c r="H62" s="1211"/>
      <c r="I62" s="1211"/>
      <c r="J62" s="1211"/>
      <c r="K62" s="1211"/>
      <c r="L62" s="1211"/>
      <c r="M62" s="1211"/>
      <c r="N62" s="1211"/>
      <c r="O62" s="1013"/>
      <c r="P62" s="1013"/>
    </row>
    <row r="63" spans="1:16" s="1013" customFormat="1" ht="31" outlineLevel="1" x14ac:dyDescent="0.25">
      <c r="A63" s="1153">
        <f t="shared" ref="A63:E78" si="7">A10</f>
        <v>2</v>
      </c>
      <c r="B63" s="1154" t="str">
        <f t="shared" si="6"/>
        <v>Various schemes of Hydro Power Stations at HPC Pune &amp; HPC Nasik</v>
      </c>
      <c r="C63" s="1153" t="str">
        <f t="shared" si="6"/>
        <v>MERC/TECH 12/CAPEX/20142015/00876</v>
      </c>
      <c r="D63" s="1325">
        <f t="shared" si="6"/>
        <v>41871</v>
      </c>
      <c r="E63" s="1326">
        <f t="shared" si="6"/>
        <v>1.5511999999999999</v>
      </c>
      <c r="F63" s="1327">
        <f t="shared" ref="F63:F110" si="8">F10+I10</f>
        <v>0</v>
      </c>
      <c r="G63" s="1327">
        <f t="shared" ref="G63:G110" si="9">G10+M10</f>
        <v>0</v>
      </c>
      <c r="H63" s="1327">
        <f t="shared" ref="H63:H110" si="10">F63-G63</f>
        <v>0</v>
      </c>
      <c r="I63" s="1327">
        <v>0</v>
      </c>
      <c r="J63" s="1327">
        <v>0</v>
      </c>
      <c r="K63" s="1327"/>
      <c r="L63" s="1327"/>
      <c r="M63" s="1327">
        <f t="shared" ref="M63" si="11">SUM(J63:L63)</f>
        <v>0</v>
      </c>
      <c r="N63" s="1327">
        <f t="shared" ref="N63:N110" si="12">H63+I63-M63</f>
        <v>0</v>
      </c>
      <c r="O63" s="1159">
        <f t="shared" ref="O63:O85" si="13">MAX(0,IF(M63=0,0,IF(G63+M63&lt;E63,M63,E63-G63)))</f>
        <v>0</v>
      </c>
      <c r="P63" s="1014">
        <f t="shared" ref="P63:P85" si="14">M63-O63</f>
        <v>0</v>
      </c>
    </row>
    <row r="64" spans="1:16" ht="31" outlineLevel="1" x14ac:dyDescent="0.25">
      <c r="A64" s="1160">
        <f t="shared" si="7"/>
        <v>2.4</v>
      </c>
      <c r="B64" s="1328" t="str">
        <f t="shared" si="6"/>
        <v>Replacement of existing AVR by SEE DVR system for Varasgaon Hydro Power Station.</v>
      </c>
      <c r="C64" s="1160" t="str">
        <f t="shared" si="6"/>
        <v>MERC/TECH 12/CAPEX/20142015/00876</v>
      </c>
      <c r="D64" s="1010">
        <f t="shared" si="6"/>
        <v>41871</v>
      </c>
      <c r="E64" s="1329">
        <f t="shared" si="6"/>
        <v>0.52</v>
      </c>
      <c r="F64" s="1334">
        <f t="shared" si="8"/>
        <v>0.30932749999999998</v>
      </c>
      <c r="G64" s="1334">
        <f t="shared" si="9"/>
        <v>0.30932749999999998</v>
      </c>
      <c r="H64" s="1334">
        <f t="shared" si="10"/>
        <v>0</v>
      </c>
      <c r="I64" s="1327">
        <v>0</v>
      </c>
      <c r="J64" s="1327">
        <v>0</v>
      </c>
      <c r="K64" s="1334"/>
      <c r="L64" s="1334"/>
      <c r="M64" s="1334">
        <f t="shared" ref="M64:M110" si="15">SUM(J64:L64)</f>
        <v>0</v>
      </c>
      <c r="N64" s="1334">
        <f t="shared" si="12"/>
        <v>0</v>
      </c>
      <c r="O64" s="1159">
        <f t="shared" si="13"/>
        <v>0</v>
      </c>
      <c r="P64" s="1014">
        <f t="shared" si="14"/>
        <v>0</v>
      </c>
    </row>
    <row r="65" spans="1:17" ht="31" outlineLevel="1" x14ac:dyDescent="0.25">
      <c r="A65" s="1160">
        <f t="shared" si="7"/>
        <v>2.5</v>
      </c>
      <c r="B65" s="1328" t="str">
        <f t="shared" si="6"/>
        <v xml:space="preserve"> Construction of Resthouse at Dimbhe HPS</v>
      </c>
      <c r="C65" s="1160" t="str">
        <f t="shared" si="6"/>
        <v>MERC/TECH 12/CAPEX/20142015/00876</v>
      </c>
      <c r="D65" s="1010">
        <f t="shared" si="6"/>
        <v>41871</v>
      </c>
      <c r="E65" s="1329">
        <f t="shared" si="6"/>
        <v>0.7</v>
      </c>
      <c r="F65" s="1334">
        <f t="shared" si="8"/>
        <v>0.73791230399999996</v>
      </c>
      <c r="G65" s="1334">
        <f t="shared" si="9"/>
        <v>0.73791230399999996</v>
      </c>
      <c r="H65" s="1334">
        <f t="shared" si="10"/>
        <v>0</v>
      </c>
      <c r="I65" s="1327">
        <v>0</v>
      </c>
      <c r="J65" s="1327">
        <v>0</v>
      </c>
      <c r="K65" s="1334"/>
      <c r="L65" s="1334"/>
      <c r="M65" s="1334">
        <f t="shared" si="15"/>
        <v>0</v>
      </c>
      <c r="N65" s="1334">
        <f t="shared" si="12"/>
        <v>0</v>
      </c>
      <c r="O65" s="1159">
        <f t="shared" si="13"/>
        <v>0</v>
      </c>
      <c r="P65" s="1014">
        <f t="shared" si="14"/>
        <v>0</v>
      </c>
      <c r="Q65" s="1013"/>
    </row>
    <row r="66" spans="1:17" ht="31" outlineLevel="1" x14ac:dyDescent="0.25">
      <c r="A66" s="1160">
        <f t="shared" si="7"/>
        <v>0</v>
      </c>
      <c r="B66" s="1328" t="str">
        <f t="shared" si="6"/>
        <v>IDC</v>
      </c>
      <c r="C66" s="1160" t="str">
        <f t="shared" si="6"/>
        <v>MERC/TECH 12/CAPEX/20142015/00876</v>
      </c>
      <c r="D66" s="1010">
        <f t="shared" si="6"/>
        <v>41871</v>
      </c>
      <c r="E66" s="1329">
        <f t="shared" si="6"/>
        <v>0.33119999999999999</v>
      </c>
      <c r="F66" s="1334">
        <f t="shared" si="8"/>
        <v>0</v>
      </c>
      <c r="G66" s="1334">
        <f t="shared" si="9"/>
        <v>0</v>
      </c>
      <c r="H66" s="1334">
        <f t="shared" si="10"/>
        <v>0</v>
      </c>
      <c r="I66" s="1327">
        <v>0</v>
      </c>
      <c r="J66" s="1327">
        <v>0</v>
      </c>
      <c r="K66" s="1334"/>
      <c r="L66" s="1334"/>
      <c r="M66" s="1334">
        <f t="shared" si="15"/>
        <v>0</v>
      </c>
      <c r="N66" s="1334">
        <f t="shared" si="12"/>
        <v>0</v>
      </c>
      <c r="O66" s="1159">
        <f t="shared" si="13"/>
        <v>0</v>
      </c>
      <c r="P66" s="1014">
        <f t="shared" si="14"/>
        <v>0</v>
      </c>
      <c r="Q66" s="1013"/>
    </row>
    <row r="67" spans="1:17" s="1013" customFormat="1" ht="31" outlineLevel="1" x14ac:dyDescent="0.25">
      <c r="A67" s="1153">
        <f t="shared" si="7"/>
        <v>5</v>
      </c>
      <c r="B67" s="1154" t="str">
        <f t="shared" si="6"/>
        <v>Various Civil schemes for Modernisations of colonies at Various Locations under Pune HPC</v>
      </c>
      <c r="C67" s="1153" t="str">
        <f t="shared" si="6"/>
        <v>MERC/CAPEX/20162017/01745</v>
      </c>
      <c r="D67" s="1325">
        <f t="shared" si="6"/>
        <v>42825</v>
      </c>
      <c r="E67" s="1326">
        <f t="shared" si="6"/>
        <v>12.812999999999999</v>
      </c>
      <c r="F67" s="1327">
        <f t="shared" si="8"/>
        <v>0</v>
      </c>
      <c r="G67" s="1327">
        <f t="shared" si="9"/>
        <v>0</v>
      </c>
      <c r="H67" s="1327">
        <f t="shared" si="10"/>
        <v>0</v>
      </c>
      <c r="I67" s="1327">
        <v>0</v>
      </c>
      <c r="J67" s="1327">
        <v>0</v>
      </c>
      <c r="K67" s="1327"/>
      <c r="L67" s="1327"/>
      <c r="M67" s="1327">
        <f t="shared" si="15"/>
        <v>0</v>
      </c>
      <c r="N67" s="1327">
        <f t="shared" si="12"/>
        <v>0</v>
      </c>
      <c r="O67" s="1159">
        <f t="shared" si="13"/>
        <v>0</v>
      </c>
      <c r="P67" s="1014">
        <f t="shared" si="14"/>
        <v>0</v>
      </c>
    </row>
    <row r="68" spans="1:17" ht="15.5" outlineLevel="1" x14ac:dyDescent="0.25">
      <c r="A68" s="1160">
        <f t="shared" si="7"/>
        <v>5.0999999999999996</v>
      </c>
      <c r="B68" s="1328" t="str">
        <f t="shared" si="6"/>
        <v>Refurbishing of Residential complex</v>
      </c>
      <c r="C68" s="1160" t="str">
        <f t="shared" si="6"/>
        <v>MERC/CAPEX/20162017/01745</v>
      </c>
      <c r="D68" s="1010">
        <f t="shared" si="6"/>
        <v>42825</v>
      </c>
      <c r="E68" s="1329">
        <f t="shared" si="6"/>
        <v>2.415</v>
      </c>
      <c r="F68" s="1334">
        <f t="shared" si="8"/>
        <v>1.2675034840000001</v>
      </c>
      <c r="G68" s="1334">
        <f t="shared" si="9"/>
        <v>1.2675034840000001</v>
      </c>
      <c r="H68" s="1334">
        <f t="shared" si="10"/>
        <v>0</v>
      </c>
      <c r="I68" s="1327">
        <v>0</v>
      </c>
      <c r="J68" s="1327">
        <v>0</v>
      </c>
      <c r="K68" s="1334"/>
      <c r="L68" s="1334"/>
      <c r="M68" s="1334">
        <f t="shared" si="15"/>
        <v>0</v>
      </c>
      <c r="N68" s="1334">
        <f t="shared" si="12"/>
        <v>0</v>
      </c>
      <c r="O68" s="1159">
        <f t="shared" si="13"/>
        <v>0</v>
      </c>
      <c r="P68" s="1014">
        <f t="shared" si="14"/>
        <v>0</v>
      </c>
      <c r="Q68" s="1013"/>
    </row>
    <row r="69" spans="1:17" ht="15.5" outlineLevel="1" x14ac:dyDescent="0.25">
      <c r="A69" s="1160">
        <f t="shared" si="7"/>
        <v>5.2</v>
      </c>
      <c r="B69" s="1328" t="str">
        <f t="shared" si="6"/>
        <v>Internal Roads</v>
      </c>
      <c r="C69" s="1160" t="str">
        <f t="shared" si="6"/>
        <v>MERC/CAPEX/20162017/01745</v>
      </c>
      <c r="D69" s="1010">
        <f t="shared" si="6"/>
        <v>42825</v>
      </c>
      <c r="E69" s="1329">
        <f t="shared" si="6"/>
        <v>2.29</v>
      </c>
      <c r="F69" s="1334">
        <f t="shared" si="8"/>
        <v>1.6182413759999996</v>
      </c>
      <c r="G69" s="1334">
        <f t="shared" si="9"/>
        <v>1.6182413759999998</v>
      </c>
      <c r="H69" s="1334">
        <f t="shared" si="10"/>
        <v>0</v>
      </c>
      <c r="I69" s="1327">
        <v>0</v>
      </c>
      <c r="J69" s="1327">
        <v>0</v>
      </c>
      <c r="K69" s="1334"/>
      <c r="L69" s="1334"/>
      <c r="M69" s="1334">
        <f t="shared" si="15"/>
        <v>0</v>
      </c>
      <c r="N69" s="1334">
        <f t="shared" si="12"/>
        <v>0</v>
      </c>
      <c r="O69" s="1159">
        <f t="shared" si="13"/>
        <v>0</v>
      </c>
      <c r="P69" s="1014">
        <f t="shared" si="14"/>
        <v>0</v>
      </c>
      <c r="Q69" s="1013"/>
    </row>
    <row r="70" spans="1:17" ht="15.5" outlineLevel="1" x14ac:dyDescent="0.25">
      <c r="A70" s="1160">
        <f t="shared" si="7"/>
        <v>5.3</v>
      </c>
      <c r="B70" s="1328" t="str">
        <f t="shared" si="6"/>
        <v>Water supply, filteration &amp;  Sanitary works</v>
      </c>
      <c r="C70" s="1160" t="str">
        <f t="shared" si="6"/>
        <v>MERC/CAPEX/20162017/01745</v>
      </c>
      <c r="D70" s="1010">
        <f t="shared" si="6"/>
        <v>42825</v>
      </c>
      <c r="E70" s="1329">
        <f t="shared" si="6"/>
        <v>1.427</v>
      </c>
      <c r="F70" s="1334">
        <f t="shared" si="8"/>
        <v>0.57282329500000007</v>
      </c>
      <c r="G70" s="1334">
        <f t="shared" si="9"/>
        <v>0.57282329500000007</v>
      </c>
      <c r="H70" s="1334">
        <f t="shared" si="10"/>
        <v>0</v>
      </c>
      <c r="I70" s="1327">
        <v>0</v>
      </c>
      <c r="J70" s="1327">
        <v>0</v>
      </c>
      <c r="K70" s="1334"/>
      <c r="L70" s="1334"/>
      <c r="M70" s="1334">
        <f t="shared" si="15"/>
        <v>0</v>
      </c>
      <c r="N70" s="1334">
        <f t="shared" si="12"/>
        <v>0</v>
      </c>
      <c r="O70" s="1159">
        <f t="shared" si="13"/>
        <v>0</v>
      </c>
      <c r="P70" s="1014">
        <f t="shared" si="14"/>
        <v>0</v>
      </c>
      <c r="Q70" s="1013"/>
    </row>
    <row r="71" spans="1:17" ht="15.5" outlineLevel="1" x14ac:dyDescent="0.25">
      <c r="A71" s="1160">
        <f t="shared" si="7"/>
        <v>5.4</v>
      </c>
      <c r="B71" s="1328" t="str">
        <f t="shared" si="6"/>
        <v>Compound walls</v>
      </c>
      <c r="C71" s="1160" t="str">
        <f t="shared" si="6"/>
        <v>MERC/CAPEX/20162017/01745</v>
      </c>
      <c r="D71" s="1010">
        <f t="shared" si="6"/>
        <v>42825</v>
      </c>
      <c r="E71" s="1329">
        <f t="shared" si="6"/>
        <v>6.681</v>
      </c>
      <c r="F71" s="1334">
        <f t="shared" si="8"/>
        <v>4.8003949519999995</v>
      </c>
      <c r="G71" s="1334">
        <f t="shared" si="9"/>
        <v>4.8003949519999995</v>
      </c>
      <c r="H71" s="1334">
        <f t="shared" si="10"/>
        <v>0</v>
      </c>
      <c r="I71" s="1327">
        <v>2.7556813719999997</v>
      </c>
      <c r="J71" s="1327">
        <v>2.7556813719999997</v>
      </c>
      <c r="K71" s="1334"/>
      <c r="L71" s="1334"/>
      <c r="M71" s="1334">
        <f t="shared" si="15"/>
        <v>2.7556813719999997</v>
      </c>
      <c r="N71" s="1334">
        <f t="shared" si="12"/>
        <v>0</v>
      </c>
      <c r="O71" s="1159">
        <f t="shared" si="13"/>
        <v>1.8806050480000005</v>
      </c>
      <c r="P71" s="1014">
        <f t="shared" si="14"/>
        <v>0.87507632399999924</v>
      </c>
      <c r="Q71" s="1013">
        <v>-2.3408937000000074E-2</v>
      </c>
    </row>
    <row r="72" spans="1:17" s="1013" customFormat="1" ht="31" outlineLevel="1" x14ac:dyDescent="0.25">
      <c r="A72" s="1153">
        <f t="shared" si="7"/>
        <v>14</v>
      </c>
      <c r="B72" s="1154" t="str">
        <f t="shared" si="6"/>
        <v>Various 14 Nos. of schemes for Hydro Power Stations under Renewable Energy Circle, Pune &amp; Nasik</v>
      </c>
      <c r="C72" s="1153" t="str">
        <f t="shared" si="6"/>
        <v>MERC/CAPEX/2020-21/WFH/SBR/ 19</v>
      </c>
      <c r="D72" s="1325">
        <f t="shared" si="6"/>
        <v>44029</v>
      </c>
      <c r="E72" s="1326">
        <f t="shared" si="6"/>
        <v>1.9079999999999999</v>
      </c>
      <c r="F72" s="1327">
        <f t="shared" si="8"/>
        <v>0</v>
      </c>
      <c r="G72" s="1327">
        <f t="shared" si="9"/>
        <v>0</v>
      </c>
      <c r="H72" s="1327">
        <f t="shared" si="10"/>
        <v>0</v>
      </c>
      <c r="I72" s="1327">
        <v>0</v>
      </c>
      <c r="J72" s="1327">
        <v>0</v>
      </c>
      <c r="K72" s="1327"/>
      <c r="L72" s="1327"/>
      <c r="M72" s="1327">
        <f t="shared" si="15"/>
        <v>0</v>
      </c>
      <c r="N72" s="1327">
        <f t="shared" si="12"/>
        <v>0</v>
      </c>
      <c r="O72" s="1159">
        <f t="shared" si="13"/>
        <v>0</v>
      </c>
      <c r="P72" s="1014">
        <f t="shared" si="14"/>
        <v>0</v>
      </c>
    </row>
    <row r="73" spans="1:17" ht="31" outlineLevel="1" x14ac:dyDescent="0.25">
      <c r="A73" s="1160">
        <f t="shared" si="7"/>
        <v>14.1</v>
      </c>
      <c r="B73" s="1328" t="str">
        <f t="shared" si="6"/>
        <v>Schme-A: Retrofitting of 12 KV Breakers at Ujjani Hydro Power Station</v>
      </c>
      <c r="C73" s="1160" t="str">
        <f t="shared" si="6"/>
        <v>MERC/CAPEX/2020-21/WFH/SBR/ 19</v>
      </c>
      <c r="D73" s="1010">
        <f t="shared" si="6"/>
        <v>44029</v>
      </c>
      <c r="E73" s="1329">
        <f t="shared" si="6"/>
        <v>0.39500000000000002</v>
      </c>
      <c r="F73" s="1334">
        <f t="shared" si="8"/>
        <v>0.26762399999999997</v>
      </c>
      <c r="G73" s="1334">
        <f t="shared" si="9"/>
        <v>0.26762399999999997</v>
      </c>
      <c r="H73" s="1334">
        <f t="shared" si="10"/>
        <v>0</v>
      </c>
      <c r="I73" s="1327">
        <v>0</v>
      </c>
      <c r="J73" s="1327">
        <v>0</v>
      </c>
      <c r="K73" s="1334"/>
      <c r="L73" s="1334"/>
      <c r="M73" s="1334">
        <f t="shared" si="15"/>
        <v>0</v>
      </c>
      <c r="N73" s="1334">
        <f t="shared" si="12"/>
        <v>0</v>
      </c>
      <c r="O73" s="1159">
        <f t="shared" si="13"/>
        <v>0</v>
      </c>
      <c r="P73" s="1014">
        <f t="shared" si="14"/>
        <v>0</v>
      </c>
      <c r="Q73" s="1013"/>
    </row>
    <row r="74" spans="1:17" ht="31" outlineLevel="1" x14ac:dyDescent="0.25">
      <c r="A74" s="1160">
        <f t="shared" si="7"/>
        <v>14.3</v>
      </c>
      <c r="B74" s="1328" t="str">
        <f t="shared" si="6"/>
        <v>Schme-C :Replacement of existing Energy meters by 0.2S Class Energy meters at various HPS.</v>
      </c>
      <c r="C74" s="1160" t="str">
        <f t="shared" si="6"/>
        <v>MERC/CAPEX/2020-21/WFH/SBR/ 19</v>
      </c>
      <c r="D74" s="1010">
        <f t="shared" si="6"/>
        <v>44029</v>
      </c>
      <c r="E74" s="1329">
        <f t="shared" si="6"/>
        <v>0.10199999999999999</v>
      </c>
      <c r="F74" s="1334">
        <f t="shared" si="8"/>
        <v>9.6156000000000005E-2</v>
      </c>
      <c r="G74" s="1334">
        <f t="shared" si="9"/>
        <v>7.969248000000001E-2</v>
      </c>
      <c r="H74" s="1334">
        <f t="shared" si="10"/>
        <v>1.6463519999999995E-2</v>
      </c>
      <c r="I74" s="1327">
        <v>0</v>
      </c>
      <c r="J74" s="1327">
        <v>0</v>
      </c>
      <c r="K74" s="1334"/>
      <c r="L74" s="1334"/>
      <c r="M74" s="1334">
        <f t="shared" si="15"/>
        <v>0</v>
      </c>
      <c r="N74" s="1334">
        <f t="shared" si="12"/>
        <v>1.6463519999999995E-2</v>
      </c>
      <c r="O74" s="1159">
        <f t="shared" si="13"/>
        <v>0</v>
      </c>
      <c r="P74" s="1014">
        <f t="shared" si="14"/>
        <v>0</v>
      </c>
      <c r="Q74" s="1013"/>
    </row>
    <row r="75" spans="1:17" ht="31" outlineLevel="1" x14ac:dyDescent="0.25">
      <c r="A75" s="1160">
        <f t="shared" si="7"/>
        <v>14.4</v>
      </c>
      <c r="B75" s="1328" t="str">
        <f t="shared" si="6"/>
        <v>Schme-D: Providing Oil Filtration Machines for all Divisions of REC, Pune</v>
      </c>
      <c r="C75" s="1160" t="str">
        <f t="shared" si="6"/>
        <v>MERC/CAPEX/2020-21/WFH/SBR/ 19</v>
      </c>
      <c r="D75" s="1010">
        <f t="shared" si="6"/>
        <v>44029</v>
      </c>
      <c r="E75" s="1329">
        <f t="shared" si="6"/>
        <v>0.56100000000000005</v>
      </c>
      <c r="F75" s="1334">
        <f t="shared" si="8"/>
        <v>0.2723912</v>
      </c>
      <c r="G75" s="1334">
        <f t="shared" si="9"/>
        <v>0.2723912</v>
      </c>
      <c r="H75" s="1334">
        <f t="shared" si="10"/>
        <v>0</v>
      </c>
      <c r="I75" s="1327">
        <v>0</v>
      </c>
      <c r="J75" s="1327">
        <v>0</v>
      </c>
      <c r="K75" s="1334"/>
      <c r="L75" s="1334"/>
      <c r="M75" s="1334">
        <f t="shared" si="15"/>
        <v>0</v>
      </c>
      <c r="N75" s="1334">
        <f t="shared" si="12"/>
        <v>0</v>
      </c>
      <c r="O75" s="1159">
        <f t="shared" si="13"/>
        <v>0</v>
      </c>
      <c r="P75" s="1014">
        <f t="shared" si="14"/>
        <v>0</v>
      </c>
      <c r="Q75" s="1013"/>
    </row>
    <row r="76" spans="1:17" ht="15.5" outlineLevel="1" x14ac:dyDescent="0.25">
      <c r="A76" s="1160">
        <f t="shared" si="7"/>
        <v>0</v>
      </c>
      <c r="B76" s="1328" t="str">
        <f t="shared" si="6"/>
        <v>IDC</v>
      </c>
      <c r="C76" s="1160" t="str">
        <f t="shared" si="6"/>
        <v>MERC/CAPEX/2020-21/WFH/SBR/ 19</v>
      </c>
      <c r="D76" s="1010">
        <f t="shared" si="6"/>
        <v>44029</v>
      </c>
      <c r="E76" s="1329">
        <f t="shared" si="6"/>
        <v>0.85</v>
      </c>
      <c r="F76" s="1334">
        <f t="shared" si="8"/>
        <v>0</v>
      </c>
      <c r="G76" s="1334">
        <f t="shared" si="9"/>
        <v>0</v>
      </c>
      <c r="H76" s="1334">
        <f t="shared" si="10"/>
        <v>0</v>
      </c>
      <c r="I76" s="1327">
        <v>0</v>
      </c>
      <c r="J76" s="1327">
        <v>0</v>
      </c>
      <c r="K76" s="1334"/>
      <c r="L76" s="1334"/>
      <c r="M76" s="1334">
        <f t="shared" si="15"/>
        <v>0</v>
      </c>
      <c r="N76" s="1334">
        <f t="shared" si="12"/>
        <v>0</v>
      </c>
      <c r="O76" s="1159">
        <f t="shared" si="13"/>
        <v>0</v>
      </c>
      <c r="P76" s="1014">
        <f t="shared" si="14"/>
        <v>0</v>
      </c>
      <c r="Q76" s="1013"/>
    </row>
    <row r="77" spans="1:17" s="1013" customFormat="1" ht="31" outlineLevel="1" x14ac:dyDescent="0.25">
      <c r="A77" s="1153">
        <f t="shared" si="7"/>
        <v>16</v>
      </c>
      <c r="B77" s="1154" t="str">
        <f t="shared" si="7"/>
        <v>Various 6 Nos. Schemes for Hydro Power Stations under Renewable Energy Circle, Pune</v>
      </c>
      <c r="C77" s="1153" t="str">
        <f t="shared" si="7"/>
        <v>MERC/CAPEX/2020-2021/WFH/ SBR/22</v>
      </c>
      <c r="D77" s="1325">
        <f t="shared" si="7"/>
        <v>44037</v>
      </c>
      <c r="E77" s="1326">
        <f t="shared" si="7"/>
        <v>10.861000000000001</v>
      </c>
      <c r="F77" s="1327">
        <f t="shared" si="8"/>
        <v>0</v>
      </c>
      <c r="G77" s="1327">
        <f t="shared" si="9"/>
        <v>0</v>
      </c>
      <c r="H77" s="1327">
        <f t="shared" si="10"/>
        <v>0</v>
      </c>
      <c r="I77" s="1327">
        <v>0</v>
      </c>
      <c r="J77" s="1327">
        <v>0</v>
      </c>
      <c r="K77" s="1327"/>
      <c r="L77" s="1327"/>
      <c r="M77" s="1327">
        <f t="shared" si="15"/>
        <v>0</v>
      </c>
      <c r="N77" s="1327">
        <f t="shared" si="12"/>
        <v>0</v>
      </c>
      <c r="O77" s="1159">
        <f t="shared" si="13"/>
        <v>0</v>
      </c>
      <c r="P77" s="1014">
        <f t="shared" si="14"/>
        <v>0</v>
      </c>
    </row>
    <row r="78" spans="1:17" ht="31" outlineLevel="1" x14ac:dyDescent="0.25">
      <c r="A78" s="1160">
        <f t="shared" si="7"/>
        <v>16.100000000000001</v>
      </c>
      <c r="B78" s="1328" t="str">
        <f t="shared" si="7"/>
        <v>Replacement of existing Air Compressors at Bhira, Tilari, Pawana and Ujjani Hydro Power Stations under REC, Pune</v>
      </c>
      <c r="C78" s="1160" t="str">
        <f t="shared" si="7"/>
        <v>MERC/CAPEX/2020-2021/WFH/ SBR/22</v>
      </c>
      <c r="D78" s="1010">
        <f t="shared" si="7"/>
        <v>44037</v>
      </c>
      <c r="E78" s="1329">
        <f t="shared" si="7"/>
        <v>0.95099999999999996</v>
      </c>
      <c r="F78" s="1334">
        <f t="shared" si="8"/>
        <v>0</v>
      </c>
      <c r="G78" s="1334">
        <f t="shared" si="9"/>
        <v>0</v>
      </c>
      <c r="H78" s="1334">
        <f t="shared" si="10"/>
        <v>0</v>
      </c>
      <c r="I78" s="1327">
        <v>0</v>
      </c>
      <c r="J78" s="1327">
        <v>0</v>
      </c>
      <c r="K78" s="1334"/>
      <c r="L78" s="1334"/>
      <c r="M78" s="1334">
        <f t="shared" si="15"/>
        <v>0</v>
      </c>
      <c r="N78" s="1334">
        <f t="shared" si="12"/>
        <v>0</v>
      </c>
      <c r="O78" s="1159">
        <f t="shared" si="13"/>
        <v>0</v>
      </c>
      <c r="P78" s="1014">
        <f t="shared" si="14"/>
        <v>0</v>
      </c>
      <c r="Q78" s="1013"/>
    </row>
    <row r="79" spans="1:17" ht="62" outlineLevel="1" x14ac:dyDescent="0.25">
      <c r="A79" s="1160">
        <f t="shared" ref="A79:E94" si="16">A26</f>
        <v>16.2</v>
      </c>
      <c r="B79" s="1328" t="str">
        <f t="shared" si="16"/>
        <v>Replacement of existing Air conditioners of Plant Control Rooms at Ujjani, Warna, Kanher, Dhom, Dimbhe &amp; Dudhganga
HPS.</v>
      </c>
      <c r="C79" s="1160" t="str">
        <f t="shared" si="16"/>
        <v>MERC/CAPEX/2020-2021/WFH/ SBR/22</v>
      </c>
      <c r="D79" s="1010">
        <f t="shared" si="16"/>
        <v>44037</v>
      </c>
      <c r="E79" s="1329">
        <f t="shared" si="16"/>
        <v>0.29199999999999998</v>
      </c>
      <c r="F79" s="1334">
        <f t="shared" si="8"/>
        <v>0.25256440000000002</v>
      </c>
      <c r="G79" s="1334">
        <f t="shared" si="9"/>
        <v>0.25256440000000002</v>
      </c>
      <c r="H79" s="1334">
        <f t="shared" si="10"/>
        <v>0</v>
      </c>
      <c r="I79" s="1327">
        <v>0</v>
      </c>
      <c r="J79" s="1327">
        <v>0</v>
      </c>
      <c r="K79" s="1334"/>
      <c r="L79" s="1334"/>
      <c r="M79" s="1334">
        <f t="shared" si="15"/>
        <v>0</v>
      </c>
      <c r="N79" s="1334">
        <f t="shared" si="12"/>
        <v>0</v>
      </c>
      <c r="O79" s="1159">
        <f t="shared" si="13"/>
        <v>0</v>
      </c>
      <c r="P79" s="1014">
        <f t="shared" si="14"/>
        <v>0</v>
      </c>
      <c r="Q79" s="1013"/>
    </row>
    <row r="80" spans="1:17" ht="46.5" outlineLevel="1" x14ac:dyDescent="0.25">
      <c r="A80" s="1160">
        <f t="shared" si="16"/>
        <v>16.399999999999999</v>
      </c>
      <c r="B80" s="1328" t="str">
        <f t="shared" si="16"/>
        <v>Replacement of 220 V, 400/300 AH Battery set with Tubular type Battery Banks at Bhira, Tilari, Kanher, Dimbhe and Ujani Hydro Power Stations.</v>
      </c>
      <c r="C80" s="1160" t="str">
        <f t="shared" si="16"/>
        <v>MERC/CAPEX/2020-2021/WFH/ SBR/22</v>
      </c>
      <c r="D80" s="1010">
        <f t="shared" si="16"/>
        <v>44037</v>
      </c>
      <c r="E80" s="1329">
        <f t="shared" si="16"/>
        <v>0.89999999999999991</v>
      </c>
      <c r="F80" s="1334">
        <f t="shared" si="8"/>
        <v>0</v>
      </c>
      <c r="G80" s="1334">
        <f t="shared" si="9"/>
        <v>0</v>
      </c>
      <c r="H80" s="1334">
        <f t="shared" si="10"/>
        <v>0</v>
      </c>
      <c r="I80" s="1327">
        <v>0.35828399999999999</v>
      </c>
      <c r="J80" s="1327">
        <v>0.35828399999999999</v>
      </c>
      <c r="K80" s="1334"/>
      <c r="L80" s="1334"/>
      <c r="M80" s="1334">
        <f t="shared" si="15"/>
        <v>0.35828399999999999</v>
      </c>
      <c r="N80" s="1334">
        <f t="shared" si="12"/>
        <v>0</v>
      </c>
      <c r="O80" s="1159">
        <f t="shared" si="13"/>
        <v>0.35828399999999999</v>
      </c>
      <c r="P80" s="1014">
        <f t="shared" si="14"/>
        <v>0</v>
      </c>
      <c r="Q80" s="1013"/>
    </row>
    <row r="81" spans="1:16" ht="31" outlineLevel="1" x14ac:dyDescent="0.25">
      <c r="A81" s="1160">
        <f t="shared" si="16"/>
        <v>16.5</v>
      </c>
      <c r="B81" s="1328" t="str">
        <f t="shared" si="16"/>
        <v>Supply, installation and commissioning of Kaplan Turbine Runner Blades from BHEL (OEM) for Dudhganga U#1.</v>
      </c>
      <c r="C81" s="1160" t="str">
        <f t="shared" si="16"/>
        <v>MERC/CAPEX/2020-2021/WFH/ SBR/22</v>
      </c>
      <c r="D81" s="1010">
        <f t="shared" si="16"/>
        <v>44037</v>
      </c>
      <c r="E81" s="1329">
        <f t="shared" si="16"/>
        <v>4.657</v>
      </c>
      <c r="F81" s="1334">
        <f t="shared" si="8"/>
        <v>4.4522934000000003</v>
      </c>
      <c r="G81" s="1334">
        <f t="shared" si="9"/>
        <v>4.4592022</v>
      </c>
      <c r="H81" s="1334">
        <f t="shared" si="10"/>
        <v>-6.9087999999997152E-3</v>
      </c>
      <c r="I81" s="1327">
        <v>0.120743736</v>
      </c>
      <c r="J81" s="1327">
        <v>0.120743736</v>
      </c>
      <c r="K81" s="1334"/>
      <c r="L81" s="1334"/>
      <c r="M81" s="1334">
        <f t="shared" si="15"/>
        <v>0.120743736</v>
      </c>
      <c r="N81" s="1334">
        <f t="shared" si="12"/>
        <v>-6.9087999999997152E-3</v>
      </c>
      <c r="O81" s="1159">
        <f t="shared" si="13"/>
        <v>0.120743736</v>
      </c>
      <c r="P81" s="1014">
        <f t="shared" si="14"/>
        <v>0</v>
      </c>
    </row>
    <row r="82" spans="1:16" ht="46.5" outlineLevel="1" x14ac:dyDescent="0.25">
      <c r="A82" s="1160">
        <f t="shared" si="16"/>
        <v>16.600000000000001</v>
      </c>
      <c r="B82" s="1328" t="str">
        <f t="shared" si="16"/>
        <v>Replacement of existing Protection Systems with Numerical Protection system at Bhira, Panshet, Varasgaon, Dimbhe &amp; Manikdoh HPS.</v>
      </c>
      <c r="C82" s="1160" t="str">
        <f t="shared" si="16"/>
        <v>MERC/CAPEX/2020-2021/WFH/ SBR/22</v>
      </c>
      <c r="D82" s="1010">
        <f t="shared" si="16"/>
        <v>44037</v>
      </c>
      <c r="E82" s="1329">
        <f t="shared" si="16"/>
        <v>3.6220000000000003</v>
      </c>
      <c r="F82" s="1334">
        <f t="shared" si="8"/>
        <v>0</v>
      </c>
      <c r="G82" s="1334">
        <f t="shared" si="9"/>
        <v>0</v>
      </c>
      <c r="H82" s="1334">
        <f t="shared" si="10"/>
        <v>0</v>
      </c>
      <c r="I82" s="1327">
        <v>0.53395000000000004</v>
      </c>
      <c r="J82" s="1327">
        <v>0.53395000000000004</v>
      </c>
      <c r="K82" s="1334"/>
      <c r="L82" s="1334"/>
      <c r="M82" s="1334">
        <f t="shared" si="15"/>
        <v>0.53395000000000004</v>
      </c>
      <c r="N82" s="1334">
        <f t="shared" si="12"/>
        <v>0</v>
      </c>
      <c r="O82" s="1159">
        <f t="shared" si="13"/>
        <v>0.53395000000000004</v>
      </c>
      <c r="P82" s="1014">
        <f t="shared" si="14"/>
        <v>0</v>
      </c>
    </row>
    <row r="83" spans="1:16" ht="31" outlineLevel="1" x14ac:dyDescent="0.25">
      <c r="A83" s="1160">
        <f t="shared" si="16"/>
        <v>0</v>
      </c>
      <c r="B83" s="1328" t="str">
        <f t="shared" si="16"/>
        <v>IDC</v>
      </c>
      <c r="C83" s="1160" t="str">
        <f t="shared" si="16"/>
        <v>MERC/CAPEX/2020-2021/WFH/ SBR/22</v>
      </c>
      <c r="D83" s="1010">
        <f t="shared" si="16"/>
        <v>44037</v>
      </c>
      <c r="E83" s="1329">
        <f t="shared" si="16"/>
        <v>0.439</v>
      </c>
      <c r="F83" s="1334">
        <f t="shared" si="8"/>
        <v>0</v>
      </c>
      <c r="G83" s="1334">
        <f t="shared" si="9"/>
        <v>0</v>
      </c>
      <c r="H83" s="1334">
        <f t="shared" si="10"/>
        <v>0</v>
      </c>
      <c r="I83" s="1327">
        <v>0</v>
      </c>
      <c r="J83" s="1327">
        <v>0</v>
      </c>
      <c r="K83" s="1334"/>
      <c r="L83" s="1334"/>
      <c r="M83" s="1334">
        <f t="shared" si="15"/>
        <v>0</v>
      </c>
      <c r="N83" s="1334">
        <f t="shared" si="12"/>
        <v>0</v>
      </c>
      <c r="O83" s="1159">
        <f t="shared" si="13"/>
        <v>0</v>
      </c>
      <c r="P83" s="1014">
        <f t="shared" si="14"/>
        <v>0</v>
      </c>
    </row>
    <row r="84" spans="1:16" ht="31" outlineLevel="1" x14ac:dyDescent="0.25">
      <c r="A84" s="1015">
        <f t="shared" si="16"/>
        <v>17</v>
      </c>
      <c r="B84" s="1016" t="str">
        <f t="shared" si="16"/>
        <v xml:space="preserve">Fortification near Panshet hydro power station for arresting rock falling on HPS Building at panshet . </v>
      </c>
      <c r="C84" s="1015" t="str">
        <f t="shared" si="16"/>
        <v xml:space="preserve">Not approved </v>
      </c>
      <c r="D84" s="1010" t="str">
        <f t="shared" si="16"/>
        <v>-</v>
      </c>
      <c r="E84" s="1330">
        <f t="shared" si="16"/>
        <v>0</v>
      </c>
      <c r="F84" s="1330">
        <f t="shared" si="8"/>
        <v>0</v>
      </c>
      <c r="G84" s="1330">
        <f t="shared" si="9"/>
        <v>0</v>
      </c>
      <c r="H84" s="1330">
        <f t="shared" si="10"/>
        <v>0</v>
      </c>
      <c r="I84" s="1327">
        <v>0</v>
      </c>
      <c r="J84" s="1327">
        <v>0</v>
      </c>
      <c r="K84" s="1330"/>
      <c r="L84" s="1330"/>
      <c r="M84" s="1330">
        <f t="shared" si="15"/>
        <v>0</v>
      </c>
      <c r="N84" s="1330">
        <f t="shared" si="12"/>
        <v>0</v>
      </c>
      <c r="O84" s="1159">
        <f t="shared" si="13"/>
        <v>0</v>
      </c>
      <c r="P84" s="1014">
        <f t="shared" si="14"/>
        <v>0</v>
      </c>
    </row>
    <row r="85" spans="1:16" ht="31" outlineLevel="1" x14ac:dyDescent="0.25">
      <c r="A85" s="1015">
        <f t="shared" si="16"/>
        <v>17.100000000000001</v>
      </c>
      <c r="B85" s="1016" t="str">
        <f t="shared" si="16"/>
        <v xml:space="preserve">Fortification near Panshet hydro power station for arresting rock falling on HPS Building at panshet . </v>
      </c>
      <c r="C85" s="1015" t="str">
        <f t="shared" si="16"/>
        <v xml:space="preserve">Not approved </v>
      </c>
      <c r="D85" s="1010" t="str">
        <f t="shared" si="16"/>
        <v>-</v>
      </c>
      <c r="E85" s="1330">
        <f t="shared" si="16"/>
        <v>0</v>
      </c>
      <c r="F85" s="1330">
        <f t="shared" si="8"/>
        <v>12.06</v>
      </c>
      <c r="G85" s="1330">
        <f t="shared" si="9"/>
        <v>0</v>
      </c>
      <c r="H85" s="1330">
        <f t="shared" si="10"/>
        <v>12.06</v>
      </c>
      <c r="I85" s="1327">
        <v>0</v>
      </c>
      <c r="J85" s="1327">
        <v>0</v>
      </c>
      <c r="K85" s="1330"/>
      <c r="L85" s="1330"/>
      <c r="M85" s="1330">
        <f t="shared" ref="M85" si="17">SUM(J85:L85)</f>
        <v>0</v>
      </c>
      <c r="N85" s="1330">
        <f t="shared" si="12"/>
        <v>12.06</v>
      </c>
      <c r="O85" s="1159">
        <f t="shared" si="13"/>
        <v>0</v>
      </c>
      <c r="P85" s="1014">
        <f t="shared" si="14"/>
        <v>0</v>
      </c>
    </row>
    <row r="86" spans="1:16" ht="15.5" outlineLevel="1" x14ac:dyDescent="0.25">
      <c r="A86" s="1011">
        <f t="shared" si="16"/>
        <v>0</v>
      </c>
      <c r="B86" s="1150" t="str">
        <f t="shared" si="16"/>
        <v>(ii) Yet to be submitted to MERC</v>
      </c>
      <c r="C86" s="1011">
        <f t="shared" si="16"/>
        <v>0</v>
      </c>
      <c r="D86" s="1010" t="str">
        <f t="shared" si="16"/>
        <v>-</v>
      </c>
      <c r="E86" s="1330">
        <f t="shared" si="16"/>
        <v>0</v>
      </c>
      <c r="F86" s="1259">
        <f t="shared" si="8"/>
        <v>0</v>
      </c>
      <c r="G86" s="1259">
        <f t="shared" si="9"/>
        <v>0</v>
      </c>
      <c r="H86" s="1259">
        <f t="shared" si="10"/>
        <v>0</v>
      </c>
      <c r="I86" s="1327">
        <v>0</v>
      </c>
      <c r="J86" s="1327">
        <v>0</v>
      </c>
      <c r="K86" s="1259"/>
      <c r="L86" s="1259"/>
      <c r="M86" s="1259">
        <f t="shared" si="15"/>
        <v>0</v>
      </c>
      <c r="N86" s="1259">
        <f t="shared" si="12"/>
        <v>0</v>
      </c>
      <c r="O86" s="1013"/>
      <c r="P86" s="1013"/>
    </row>
    <row r="87" spans="1:16" ht="15.5" outlineLevel="1" x14ac:dyDescent="0.25">
      <c r="A87" s="1153">
        <f t="shared" si="16"/>
        <v>1</v>
      </c>
      <c r="B87" s="1154" t="str">
        <f t="shared" si="16"/>
        <v>DPR-5</v>
      </c>
      <c r="C87" s="1153" t="str">
        <f t="shared" si="16"/>
        <v>(ii) Yet to be submitted to MERC</v>
      </c>
      <c r="D87" s="1325" t="str">
        <f t="shared" si="16"/>
        <v>-</v>
      </c>
      <c r="E87" s="1326">
        <f t="shared" si="16"/>
        <v>0</v>
      </c>
      <c r="F87" s="1335">
        <f t="shared" si="8"/>
        <v>0</v>
      </c>
      <c r="G87" s="1335">
        <f t="shared" si="9"/>
        <v>0</v>
      </c>
      <c r="H87" s="1335">
        <f t="shared" si="10"/>
        <v>0</v>
      </c>
      <c r="I87" s="1327">
        <v>0</v>
      </c>
      <c r="J87" s="1327">
        <v>0</v>
      </c>
      <c r="K87" s="1335"/>
      <c r="L87" s="1335"/>
      <c r="M87" s="1335">
        <f t="shared" si="15"/>
        <v>0</v>
      </c>
      <c r="N87" s="1335">
        <f t="shared" si="12"/>
        <v>0</v>
      </c>
      <c r="O87" s="1013"/>
      <c r="P87" s="1013"/>
    </row>
    <row r="88" spans="1:16" ht="31" outlineLevel="1" x14ac:dyDescent="0.25">
      <c r="A88" s="1160">
        <f t="shared" si="16"/>
        <v>1.1000000000000001</v>
      </c>
      <c r="B88" s="1328" t="str">
        <f t="shared" si="16"/>
        <v>Supply, erection &amp; commissioning of Digital Governor and DAVR for Panshet HPS under REC, Pune</v>
      </c>
      <c r="C88" s="1160" t="str">
        <f t="shared" si="16"/>
        <v>(ii) Yet to be submitted to MERC</v>
      </c>
      <c r="D88" s="1010" t="str">
        <f t="shared" si="16"/>
        <v>-</v>
      </c>
      <c r="E88" s="1329">
        <f t="shared" si="16"/>
        <v>0</v>
      </c>
      <c r="F88" s="1334">
        <f t="shared" si="8"/>
        <v>0</v>
      </c>
      <c r="G88" s="1334">
        <f t="shared" si="9"/>
        <v>0</v>
      </c>
      <c r="H88" s="1334">
        <f t="shared" si="10"/>
        <v>0</v>
      </c>
      <c r="I88" s="1327">
        <v>0</v>
      </c>
      <c r="J88" s="1327">
        <v>0</v>
      </c>
      <c r="K88" s="1334"/>
      <c r="L88" s="1334"/>
      <c r="M88" s="1334">
        <f t="shared" si="15"/>
        <v>0</v>
      </c>
      <c r="N88" s="1334">
        <f t="shared" si="12"/>
        <v>0</v>
      </c>
      <c r="O88" s="1013"/>
      <c r="P88" s="1013"/>
    </row>
    <row r="89" spans="1:16" ht="31" outlineLevel="1" x14ac:dyDescent="0.25">
      <c r="A89" s="1160">
        <f t="shared" si="16"/>
        <v>1.2</v>
      </c>
      <c r="B89" s="1328" t="str">
        <f t="shared" si="16"/>
        <v xml:space="preserve">Supply, erection &amp; commissioning of Digital Governor, Excitation system (DAVR) at Warana &amp; Dudhganga HPS </v>
      </c>
      <c r="C89" s="1160" t="str">
        <f t="shared" si="16"/>
        <v>(ii) Yet to be submitted to MERC</v>
      </c>
      <c r="D89" s="1010" t="str">
        <f t="shared" si="16"/>
        <v>-</v>
      </c>
      <c r="E89" s="1329">
        <f t="shared" si="16"/>
        <v>0</v>
      </c>
      <c r="F89" s="1334">
        <f t="shared" si="8"/>
        <v>0</v>
      </c>
      <c r="G89" s="1334">
        <f t="shared" si="9"/>
        <v>0</v>
      </c>
      <c r="H89" s="1334">
        <f t="shared" si="10"/>
        <v>0</v>
      </c>
      <c r="I89" s="1327">
        <v>0</v>
      </c>
      <c r="J89" s="1327">
        <v>0</v>
      </c>
      <c r="K89" s="1334"/>
      <c r="L89" s="1334"/>
      <c r="M89" s="1334">
        <f t="shared" si="15"/>
        <v>0</v>
      </c>
      <c r="N89" s="1334">
        <f t="shared" si="12"/>
        <v>0</v>
      </c>
      <c r="O89" s="1013"/>
      <c r="P89" s="1013"/>
    </row>
    <row r="90" spans="1:16" ht="46.5" outlineLevel="1" x14ac:dyDescent="0.25">
      <c r="A90" s="1160">
        <f t="shared" si="16"/>
        <v>1.3</v>
      </c>
      <c r="B90" s="1328" t="str">
        <f t="shared" si="16"/>
        <v>Supply,erection &amp; commissioningof Governor, Excitation System (DAVR) and Autosequencer for Manikdoh, Kanher &amp; Dimbhe HPS.</v>
      </c>
      <c r="C90" s="1160" t="str">
        <f t="shared" si="16"/>
        <v>(ii) Yet to be submitted to MERC</v>
      </c>
      <c r="D90" s="1010" t="str">
        <f t="shared" si="16"/>
        <v>-</v>
      </c>
      <c r="E90" s="1329">
        <f t="shared" si="16"/>
        <v>0</v>
      </c>
      <c r="F90" s="1334">
        <f t="shared" si="8"/>
        <v>0</v>
      </c>
      <c r="G90" s="1334">
        <f t="shared" si="9"/>
        <v>0</v>
      </c>
      <c r="H90" s="1334">
        <f t="shared" si="10"/>
        <v>0</v>
      </c>
      <c r="I90" s="1327">
        <v>0</v>
      </c>
      <c r="J90" s="1327">
        <v>0</v>
      </c>
      <c r="K90" s="1334"/>
      <c r="L90" s="1334"/>
      <c r="M90" s="1334">
        <f t="shared" si="15"/>
        <v>0</v>
      </c>
      <c r="N90" s="1334">
        <f t="shared" si="12"/>
        <v>0</v>
      </c>
      <c r="O90" s="1013"/>
      <c r="P90" s="1013"/>
    </row>
    <row r="91" spans="1:16" ht="31" outlineLevel="1" x14ac:dyDescent="0.25">
      <c r="A91" s="1160">
        <f t="shared" si="16"/>
        <v>1.4</v>
      </c>
      <c r="B91" s="1328" t="str">
        <f t="shared" si="16"/>
        <v>Supply, erection &amp; commissioning of Digital Governor Pawana &amp; Varasgaon HPS</v>
      </c>
      <c r="C91" s="1160" t="str">
        <f t="shared" si="16"/>
        <v>(ii) Yet to be submitted to MERC</v>
      </c>
      <c r="D91" s="1010" t="str">
        <f t="shared" si="16"/>
        <v>-</v>
      </c>
      <c r="E91" s="1329">
        <f t="shared" si="16"/>
        <v>0</v>
      </c>
      <c r="F91" s="1334">
        <f t="shared" si="8"/>
        <v>0</v>
      </c>
      <c r="G91" s="1334">
        <f t="shared" si="9"/>
        <v>0</v>
      </c>
      <c r="H91" s="1334">
        <f t="shared" si="10"/>
        <v>0</v>
      </c>
      <c r="I91" s="1327">
        <v>0</v>
      </c>
      <c r="J91" s="1327">
        <v>0</v>
      </c>
      <c r="K91" s="1334"/>
      <c r="L91" s="1334"/>
      <c r="M91" s="1334">
        <f t="shared" si="15"/>
        <v>0</v>
      </c>
      <c r="N91" s="1334">
        <f t="shared" si="12"/>
        <v>0</v>
      </c>
      <c r="O91" s="1013"/>
      <c r="P91" s="1013"/>
    </row>
    <row r="92" spans="1:16" ht="46.5" outlineLevel="1" x14ac:dyDescent="0.25">
      <c r="A92" s="1160">
        <f t="shared" si="16"/>
        <v>1.5</v>
      </c>
      <c r="B92" s="1328" t="str">
        <f t="shared" si="16"/>
        <v>Upgradation of Protection system for Generator and Generator transformer at bhatghar,Dudhganga,Ujani,Warana,Kanher &amp; Dhom</v>
      </c>
      <c r="C92" s="1160" t="str">
        <f t="shared" si="16"/>
        <v>(ii) Yet to be submitted to MERC</v>
      </c>
      <c r="D92" s="1010" t="str">
        <f t="shared" si="16"/>
        <v>-</v>
      </c>
      <c r="E92" s="1329">
        <f t="shared" si="16"/>
        <v>0</v>
      </c>
      <c r="F92" s="1334">
        <f t="shared" si="8"/>
        <v>0</v>
      </c>
      <c r="G92" s="1334">
        <f t="shared" si="9"/>
        <v>0</v>
      </c>
      <c r="H92" s="1334">
        <f t="shared" si="10"/>
        <v>0</v>
      </c>
      <c r="I92" s="1327">
        <v>0</v>
      </c>
      <c r="J92" s="1327">
        <v>0</v>
      </c>
      <c r="K92" s="1334"/>
      <c r="L92" s="1334"/>
      <c r="M92" s="1334">
        <f t="shared" si="15"/>
        <v>0</v>
      </c>
      <c r="N92" s="1334">
        <f t="shared" si="12"/>
        <v>0</v>
      </c>
      <c r="O92" s="1013"/>
      <c r="P92" s="1013"/>
    </row>
    <row r="93" spans="1:16" ht="15.5" outlineLevel="1" x14ac:dyDescent="0.25">
      <c r="A93" s="1160">
        <f t="shared" si="16"/>
        <v>0</v>
      </c>
      <c r="B93" s="1328" t="str">
        <f t="shared" si="16"/>
        <v>DPR-6</v>
      </c>
      <c r="C93" s="1160">
        <f t="shared" si="16"/>
        <v>0</v>
      </c>
      <c r="D93" s="1010" t="str">
        <f t="shared" si="16"/>
        <v>-</v>
      </c>
      <c r="E93" s="1329">
        <f t="shared" si="16"/>
        <v>0</v>
      </c>
      <c r="F93" s="1334">
        <f t="shared" si="8"/>
        <v>0</v>
      </c>
      <c r="G93" s="1334">
        <f t="shared" si="9"/>
        <v>0</v>
      </c>
      <c r="H93" s="1334">
        <f t="shared" si="10"/>
        <v>0</v>
      </c>
      <c r="I93" s="1327">
        <v>0</v>
      </c>
      <c r="J93" s="1327">
        <v>0</v>
      </c>
      <c r="K93" s="1334"/>
      <c r="L93" s="1334"/>
      <c r="M93" s="1334">
        <f t="shared" si="15"/>
        <v>0</v>
      </c>
      <c r="N93" s="1334">
        <f t="shared" si="12"/>
        <v>0</v>
      </c>
      <c r="O93" s="1013"/>
      <c r="P93" s="1013"/>
    </row>
    <row r="94" spans="1:16" ht="15.5" outlineLevel="1" x14ac:dyDescent="0.25">
      <c r="A94" s="1153">
        <f t="shared" si="16"/>
        <v>0</v>
      </c>
      <c r="B94" s="1154" t="str">
        <f t="shared" si="16"/>
        <v>Synchronising &amp; Line Breakers at HPS under REC, Pune</v>
      </c>
      <c r="C94" s="1160" t="str">
        <f t="shared" si="16"/>
        <v>(ii) Yet to be submitted to MERC</v>
      </c>
      <c r="D94" s="1325" t="str">
        <f t="shared" si="16"/>
        <v>-</v>
      </c>
      <c r="E94" s="1326">
        <f t="shared" si="16"/>
        <v>0</v>
      </c>
      <c r="F94" s="1335">
        <f t="shared" si="8"/>
        <v>0</v>
      </c>
      <c r="G94" s="1335">
        <f t="shared" si="9"/>
        <v>0</v>
      </c>
      <c r="H94" s="1335">
        <f t="shared" si="10"/>
        <v>0</v>
      </c>
      <c r="I94" s="1327">
        <v>0</v>
      </c>
      <c r="J94" s="1327">
        <v>0</v>
      </c>
      <c r="K94" s="1335"/>
      <c r="L94" s="1335"/>
      <c r="M94" s="1335">
        <f t="shared" si="15"/>
        <v>0</v>
      </c>
      <c r="N94" s="1335">
        <f t="shared" si="12"/>
        <v>0</v>
      </c>
      <c r="O94" s="1013"/>
      <c r="P94" s="1013"/>
    </row>
    <row r="95" spans="1:16" ht="31" outlineLevel="1" x14ac:dyDescent="0.25">
      <c r="A95" s="1160">
        <f t="shared" ref="A95:E110" si="18">A42</f>
        <v>0</v>
      </c>
      <c r="B95" s="1328" t="str">
        <f t="shared" si="18"/>
        <v>Digital Governor, Excitation (DAVR) with Auto sequencer at Ujjani HPS</v>
      </c>
      <c r="C95" s="1160" t="str">
        <f t="shared" si="18"/>
        <v>(ii) Yet to be submitted to MERC</v>
      </c>
      <c r="D95" s="1010" t="str">
        <f t="shared" si="18"/>
        <v>-</v>
      </c>
      <c r="E95" s="1329">
        <f t="shared" si="18"/>
        <v>0</v>
      </c>
      <c r="F95" s="1334">
        <f t="shared" si="8"/>
        <v>0</v>
      </c>
      <c r="G95" s="1334">
        <f t="shared" si="9"/>
        <v>0</v>
      </c>
      <c r="H95" s="1334">
        <f t="shared" si="10"/>
        <v>0</v>
      </c>
      <c r="I95" s="1327">
        <v>0</v>
      </c>
      <c r="J95" s="1327">
        <v>0</v>
      </c>
      <c r="K95" s="1334"/>
      <c r="L95" s="1334"/>
      <c r="M95" s="1334">
        <f t="shared" si="15"/>
        <v>0</v>
      </c>
      <c r="N95" s="1334">
        <f t="shared" si="12"/>
        <v>0</v>
      </c>
      <c r="O95" s="1013"/>
      <c r="P95" s="1013"/>
    </row>
    <row r="96" spans="1:16" ht="31" outlineLevel="1" x14ac:dyDescent="0.25">
      <c r="A96" s="1160">
        <f t="shared" si="18"/>
        <v>0</v>
      </c>
      <c r="B96" s="1328" t="str">
        <f t="shared" si="18"/>
        <v>Supply of station battery sets at Panshet, Varasgaon, Pawana, Dhom, Terwanmedhe</v>
      </c>
      <c r="C96" s="1160" t="str">
        <f t="shared" si="18"/>
        <v>(ii) Yet to be submitted to MERC</v>
      </c>
      <c r="D96" s="1010" t="str">
        <f t="shared" si="18"/>
        <v>-</v>
      </c>
      <c r="E96" s="1329">
        <f t="shared" si="18"/>
        <v>0</v>
      </c>
      <c r="F96" s="1334">
        <f t="shared" si="8"/>
        <v>0</v>
      </c>
      <c r="G96" s="1334">
        <f t="shared" si="9"/>
        <v>0</v>
      </c>
      <c r="H96" s="1334">
        <f t="shared" si="10"/>
        <v>0</v>
      </c>
      <c r="I96" s="1327">
        <v>0</v>
      </c>
      <c r="J96" s="1327">
        <v>0</v>
      </c>
      <c r="K96" s="1334"/>
      <c r="L96" s="1334"/>
      <c r="M96" s="1334">
        <f t="shared" si="15"/>
        <v>0</v>
      </c>
      <c r="N96" s="1334">
        <f t="shared" si="12"/>
        <v>0</v>
      </c>
    </row>
    <row r="97" spans="1:16" ht="31" outlineLevel="1" x14ac:dyDescent="0.25">
      <c r="A97" s="1160">
        <f t="shared" si="18"/>
        <v>0</v>
      </c>
      <c r="B97" s="1328" t="str">
        <f t="shared" si="18"/>
        <v>Digital Governor, Excitation (DAVR) with Auto sequencer at Dhom HPS</v>
      </c>
      <c r="C97" s="1160" t="str">
        <f t="shared" si="18"/>
        <v>(ii) Yet to be submitted to MERC</v>
      </c>
      <c r="D97" s="1010" t="str">
        <f t="shared" si="18"/>
        <v>-</v>
      </c>
      <c r="E97" s="1329">
        <f t="shared" si="18"/>
        <v>0</v>
      </c>
      <c r="F97" s="1334">
        <f t="shared" si="8"/>
        <v>0</v>
      </c>
      <c r="G97" s="1334">
        <f t="shared" si="9"/>
        <v>0</v>
      </c>
      <c r="H97" s="1334">
        <f t="shared" si="10"/>
        <v>0</v>
      </c>
      <c r="I97" s="1327">
        <v>0</v>
      </c>
      <c r="J97" s="1327">
        <v>0</v>
      </c>
      <c r="K97" s="1334"/>
      <c r="L97" s="1334"/>
      <c r="M97" s="1334">
        <f t="shared" si="15"/>
        <v>0</v>
      </c>
      <c r="N97" s="1334">
        <f t="shared" si="12"/>
        <v>0</v>
      </c>
    </row>
    <row r="98" spans="1:16" ht="15.5" outlineLevel="1" x14ac:dyDescent="0.25">
      <c r="A98" s="1160">
        <f t="shared" si="18"/>
        <v>0</v>
      </c>
      <c r="B98" s="1328" t="str">
        <f t="shared" si="18"/>
        <v>R &amp; M of Bhatghar HPS</v>
      </c>
      <c r="C98" s="1160" t="str">
        <f t="shared" si="18"/>
        <v>(ii) Yet to be submitted to MERC</v>
      </c>
      <c r="D98" s="1010" t="str">
        <f t="shared" si="18"/>
        <v>-</v>
      </c>
      <c r="E98" s="1329">
        <f t="shared" si="18"/>
        <v>0</v>
      </c>
      <c r="F98" s="1334">
        <f t="shared" si="8"/>
        <v>0</v>
      </c>
      <c r="G98" s="1334">
        <f t="shared" si="9"/>
        <v>0</v>
      </c>
      <c r="H98" s="1334">
        <f t="shared" si="10"/>
        <v>0</v>
      </c>
      <c r="I98" s="1327">
        <v>0</v>
      </c>
      <c r="J98" s="1327">
        <v>0</v>
      </c>
      <c r="K98" s="1334"/>
      <c r="L98" s="1334"/>
      <c r="M98" s="1334">
        <f t="shared" si="15"/>
        <v>0</v>
      </c>
      <c r="N98" s="1334">
        <f t="shared" si="12"/>
        <v>0</v>
      </c>
    </row>
    <row r="99" spans="1:16" ht="15.5" outlineLevel="1" x14ac:dyDescent="0.25">
      <c r="A99" s="1160">
        <f t="shared" si="18"/>
        <v>1.7</v>
      </c>
      <c r="B99" s="1328" t="str">
        <f t="shared" si="18"/>
        <v>DPR-8</v>
      </c>
      <c r="C99" s="1160">
        <f t="shared" si="18"/>
        <v>0</v>
      </c>
      <c r="D99" s="1010" t="str">
        <f t="shared" si="18"/>
        <v>-</v>
      </c>
      <c r="E99" s="1329">
        <f t="shared" si="18"/>
        <v>0</v>
      </c>
      <c r="F99" s="1334">
        <f t="shared" si="8"/>
        <v>0</v>
      </c>
      <c r="G99" s="1334">
        <f t="shared" si="9"/>
        <v>0</v>
      </c>
      <c r="H99" s="1334">
        <f t="shared" si="10"/>
        <v>0</v>
      </c>
      <c r="I99" s="1327">
        <v>0</v>
      </c>
      <c r="J99" s="1327">
        <v>0</v>
      </c>
      <c r="K99" s="1334"/>
      <c r="L99" s="1334"/>
      <c r="M99" s="1334">
        <f t="shared" si="15"/>
        <v>0</v>
      </c>
      <c r="N99" s="1334">
        <f t="shared" si="12"/>
        <v>0</v>
      </c>
    </row>
    <row r="100" spans="1:16" ht="31" outlineLevel="1" x14ac:dyDescent="0.25">
      <c r="A100" s="1160">
        <f t="shared" si="18"/>
        <v>0</v>
      </c>
      <c r="B100" s="1328" t="str">
        <f t="shared" si="18"/>
        <v>Gen. transformers for Dudhganga, Warana, Ujjani, Panshet, Varasgaon &amp; Pawana HPS</v>
      </c>
      <c r="C100" s="1160" t="str">
        <f t="shared" si="18"/>
        <v>(ii) Yet to be submitted to MERC</v>
      </c>
      <c r="D100" s="1010" t="str">
        <f t="shared" si="18"/>
        <v>-</v>
      </c>
      <c r="E100" s="1329">
        <f t="shared" si="18"/>
        <v>0</v>
      </c>
      <c r="F100" s="1334">
        <f t="shared" si="8"/>
        <v>0</v>
      </c>
      <c r="G100" s="1334">
        <f t="shared" si="9"/>
        <v>0</v>
      </c>
      <c r="H100" s="1334">
        <f t="shared" si="10"/>
        <v>0</v>
      </c>
      <c r="I100" s="1327">
        <v>0</v>
      </c>
      <c r="J100" s="1327">
        <v>0</v>
      </c>
      <c r="K100" s="1334"/>
      <c r="L100" s="1334"/>
      <c r="M100" s="1334">
        <f t="shared" si="15"/>
        <v>0</v>
      </c>
      <c r="N100" s="1334">
        <f t="shared" si="12"/>
        <v>0</v>
      </c>
    </row>
    <row r="101" spans="1:16" ht="15.5" outlineLevel="1" x14ac:dyDescent="0.25">
      <c r="A101" s="1160">
        <f t="shared" si="18"/>
        <v>0</v>
      </c>
      <c r="B101" s="1328">
        <f t="shared" si="18"/>
        <v>0</v>
      </c>
      <c r="C101" s="1160">
        <f t="shared" si="18"/>
        <v>0</v>
      </c>
      <c r="D101" s="1010" t="str">
        <f t="shared" si="18"/>
        <v>-</v>
      </c>
      <c r="E101" s="1329">
        <f t="shared" si="18"/>
        <v>0</v>
      </c>
      <c r="F101" s="1334">
        <f t="shared" si="8"/>
        <v>0</v>
      </c>
      <c r="G101" s="1334">
        <f t="shared" si="9"/>
        <v>0</v>
      </c>
      <c r="H101" s="1334">
        <f t="shared" si="10"/>
        <v>0</v>
      </c>
      <c r="I101" s="1327">
        <v>0</v>
      </c>
      <c r="J101" s="1327">
        <v>0</v>
      </c>
      <c r="K101" s="1334"/>
      <c r="L101" s="1334"/>
      <c r="M101" s="1334">
        <f t="shared" si="15"/>
        <v>0</v>
      </c>
      <c r="N101" s="1334">
        <f t="shared" si="12"/>
        <v>0</v>
      </c>
    </row>
    <row r="102" spans="1:16" ht="15.5" outlineLevel="1" x14ac:dyDescent="0.25">
      <c r="A102" s="1011">
        <f t="shared" si="18"/>
        <v>0</v>
      </c>
      <c r="B102" s="1012" t="str">
        <f t="shared" si="18"/>
        <v>B) Non-DPR Schemes</v>
      </c>
      <c r="C102" s="1011">
        <f t="shared" si="18"/>
        <v>0</v>
      </c>
      <c r="D102" s="1010" t="str">
        <f t="shared" si="18"/>
        <v>-</v>
      </c>
      <c r="E102" s="1330">
        <f t="shared" si="18"/>
        <v>0</v>
      </c>
      <c r="F102" s="1259">
        <f t="shared" si="8"/>
        <v>0</v>
      </c>
      <c r="G102" s="1259">
        <f t="shared" si="9"/>
        <v>0</v>
      </c>
      <c r="H102" s="1259">
        <f t="shared" si="10"/>
        <v>0</v>
      </c>
      <c r="I102" s="1327">
        <v>0</v>
      </c>
      <c r="J102" s="1327">
        <v>0</v>
      </c>
      <c r="K102" s="1259"/>
      <c r="L102" s="1259"/>
      <c r="M102" s="1259">
        <f t="shared" si="15"/>
        <v>0</v>
      </c>
      <c r="N102" s="1259">
        <f t="shared" si="12"/>
        <v>0</v>
      </c>
    </row>
    <row r="103" spans="1:16" ht="31" outlineLevel="1" x14ac:dyDescent="0.25">
      <c r="A103" s="1160">
        <f t="shared" si="18"/>
        <v>1</v>
      </c>
      <c r="B103" s="1328" t="str">
        <f t="shared" si="18"/>
        <v>Replacement of 220V/300 AH Tubular type Battery Set at Manikdoh HPS</v>
      </c>
      <c r="C103" s="1160" t="str">
        <f t="shared" si="18"/>
        <v>N.A.</v>
      </c>
      <c r="D103" s="1010" t="str">
        <f t="shared" si="18"/>
        <v>-</v>
      </c>
      <c r="E103" s="1329">
        <f t="shared" si="18"/>
        <v>0</v>
      </c>
      <c r="F103" s="1334">
        <f t="shared" si="8"/>
        <v>0.1138</v>
      </c>
      <c r="G103" s="1334">
        <f t="shared" si="9"/>
        <v>0.1138</v>
      </c>
      <c r="H103" s="1334">
        <f t="shared" si="10"/>
        <v>0</v>
      </c>
      <c r="I103" s="1327">
        <v>0</v>
      </c>
      <c r="J103" s="1327">
        <v>0</v>
      </c>
      <c r="K103" s="1334"/>
      <c r="L103" s="1334"/>
      <c r="M103" s="1334">
        <f t="shared" si="15"/>
        <v>0</v>
      </c>
      <c r="N103" s="1334">
        <f t="shared" si="12"/>
        <v>0</v>
      </c>
    </row>
    <row r="104" spans="1:16" ht="31" outlineLevel="1" x14ac:dyDescent="0.25">
      <c r="A104" s="1160">
        <f t="shared" si="18"/>
        <v>2</v>
      </c>
      <c r="B104" s="1328" t="str">
        <f t="shared" si="18"/>
        <v>Replacement of existing AVR by DAVR for Static Excitation System at Pawana HPS.</v>
      </c>
      <c r="C104" s="1160" t="str">
        <f t="shared" si="18"/>
        <v>N.A.</v>
      </c>
      <c r="D104" s="1010" t="str">
        <f t="shared" si="18"/>
        <v>-</v>
      </c>
      <c r="E104" s="1329">
        <f t="shared" si="18"/>
        <v>0</v>
      </c>
      <c r="F104" s="1334">
        <f t="shared" si="8"/>
        <v>0</v>
      </c>
      <c r="G104" s="1334">
        <f t="shared" si="9"/>
        <v>0</v>
      </c>
      <c r="H104" s="1334">
        <f t="shared" si="10"/>
        <v>0</v>
      </c>
      <c r="I104" s="1327">
        <v>0</v>
      </c>
      <c r="J104" s="1327">
        <v>0</v>
      </c>
      <c r="K104" s="1334"/>
      <c r="L104" s="1334"/>
      <c r="M104" s="1334">
        <f t="shared" si="15"/>
        <v>0</v>
      </c>
      <c r="N104" s="1334">
        <f t="shared" si="12"/>
        <v>0</v>
      </c>
    </row>
    <row r="105" spans="1:16" ht="15.5" outlineLevel="1" x14ac:dyDescent="0.25">
      <c r="A105" s="1160">
        <f t="shared" si="18"/>
        <v>3</v>
      </c>
      <c r="B105" s="1328" t="str">
        <f t="shared" si="18"/>
        <v>Retrofitting of 415 V LT Breakers at Kanher &amp; Dhom HPS.</v>
      </c>
      <c r="C105" s="1160" t="str">
        <f t="shared" si="18"/>
        <v>N.A.</v>
      </c>
      <c r="D105" s="1010" t="str">
        <f t="shared" si="18"/>
        <v>-</v>
      </c>
      <c r="E105" s="1329">
        <f t="shared" si="18"/>
        <v>0</v>
      </c>
      <c r="F105" s="1334">
        <f t="shared" si="8"/>
        <v>9.8743800000000007E-2</v>
      </c>
      <c r="G105" s="1334">
        <f t="shared" si="9"/>
        <v>9.8743800000000007E-2</v>
      </c>
      <c r="H105" s="1334">
        <f t="shared" si="10"/>
        <v>0</v>
      </c>
      <c r="I105" s="1327">
        <v>0</v>
      </c>
      <c r="J105" s="1327">
        <v>0</v>
      </c>
      <c r="K105" s="1334"/>
      <c r="L105" s="1334"/>
      <c r="M105" s="1334">
        <f t="shared" si="15"/>
        <v>0</v>
      </c>
      <c r="N105" s="1334">
        <f t="shared" si="12"/>
        <v>0</v>
      </c>
    </row>
    <row r="106" spans="1:16" ht="15.5" outlineLevel="1" x14ac:dyDescent="0.25">
      <c r="A106" s="1160">
        <f t="shared" si="18"/>
        <v>4</v>
      </c>
      <c r="B106" s="1328" t="str">
        <f t="shared" si="18"/>
        <v>Furniture &amp; Fixture General Asset</v>
      </c>
      <c r="C106" s="1160" t="str">
        <f t="shared" si="18"/>
        <v>N.A.</v>
      </c>
      <c r="D106" s="1010" t="str">
        <f t="shared" si="18"/>
        <v>-</v>
      </c>
      <c r="E106" s="1329">
        <f t="shared" si="18"/>
        <v>0</v>
      </c>
      <c r="F106" s="1334">
        <f t="shared" si="8"/>
        <v>1.028507185</v>
      </c>
      <c r="G106" s="1334">
        <f t="shared" si="9"/>
        <v>1.028507185</v>
      </c>
      <c r="H106" s="1334">
        <f t="shared" si="10"/>
        <v>0</v>
      </c>
      <c r="I106" s="1327">
        <v>2.9146435999999998E-2</v>
      </c>
      <c r="J106" s="1327">
        <v>2.9146435999999998E-2</v>
      </c>
      <c r="K106" s="1334"/>
      <c r="L106" s="1334"/>
      <c r="M106" s="1334">
        <f t="shared" si="15"/>
        <v>2.9146435999999998E-2</v>
      </c>
      <c r="N106" s="1334">
        <f t="shared" si="12"/>
        <v>0</v>
      </c>
    </row>
    <row r="107" spans="1:16" ht="15.5" outlineLevel="1" x14ac:dyDescent="0.25">
      <c r="A107" s="1160">
        <f t="shared" si="18"/>
        <v>5</v>
      </c>
      <c r="B107" s="1328" t="str">
        <f t="shared" si="18"/>
        <v>Electrical General Asset</v>
      </c>
      <c r="C107" s="1160" t="str">
        <f t="shared" si="18"/>
        <v>N.A.</v>
      </c>
      <c r="D107" s="1010" t="str">
        <f t="shared" si="18"/>
        <v>-</v>
      </c>
      <c r="E107" s="1329">
        <f t="shared" si="18"/>
        <v>0</v>
      </c>
      <c r="F107" s="1334">
        <f t="shared" si="8"/>
        <v>0.13072507799999999</v>
      </c>
      <c r="G107" s="1334">
        <f t="shared" si="9"/>
        <v>0.13072507799999999</v>
      </c>
      <c r="H107" s="1334">
        <f t="shared" si="10"/>
        <v>0</v>
      </c>
      <c r="I107" s="1327">
        <v>6.3954201000000002E-2</v>
      </c>
      <c r="J107" s="1327">
        <v>6.3954201000000002E-2</v>
      </c>
      <c r="K107" s="1334"/>
      <c r="L107" s="1334"/>
      <c r="M107" s="1334">
        <f t="shared" si="15"/>
        <v>6.3954201000000002E-2</v>
      </c>
      <c r="N107" s="1334">
        <f t="shared" si="12"/>
        <v>0</v>
      </c>
    </row>
    <row r="108" spans="1:16" ht="15.5" outlineLevel="1" x14ac:dyDescent="0.25">
      <c r="A108" s="1160">
        <f t="shared" si="18"/>
        <v>6</v>
      </c>
      <c r="B108" s="1328" t="str">
        <f t="shared" si="18"/>
        <v>Electronics General Asset</v>
      </c>
      <c r="C108" s="1160" t="str">
        <f t="shared" si="18"/>
        <v>N.A.</v>
      </c>
      <c r="D108" s="1010" t="str">
        <f t="shared" si="18"/>
        <v>-</v>
      </c>
      <c r="E108" s="1329">
        <f t="shared" si="18"/>
        <v>0</v>
      </c>
      <c r="F108" s="1334">
        <f t="shared" si="8"/>
        <v>0.23980401799999998</v>
      </c>
      <c r="G108" s="1334">
        <f t="shared" si="9"/>
        <v>0.23980401799999998</v>
      </c>
      <c r="H108" s="1334">
        <f t="shared" si="10"/>
        <v>0</v>
      </c>
      <c r="I108" s="1327">
        <v>1.6808697000000001E-2</v>
      </c>
      <c r="J108" s="1327">
        <v>1.6808697000000001E-2</v>
      </c>
      <c r="K108" s="1334"/>
      <c r="L108" s="1334"/>
      <c r="M108" s="1334">
        <f t="shared" si="15"/>
        <v>1.6808697000000001E-2</v>
      </c>
      <c r="N108" s="1334">
        <f t="shared" si="12"/>
        <v>0</v>
      </c>
    </row>
    <row r="109" spans="1:16" ht="15.5" outlineLevel="1" x14ac:dyDescent="0.25">
      <c r="A109" s="1160">
        <f t="shared" si="18"/>
        <v>7</v>
      </c>
      <c r="B109" s="1328" t="str">
        <f t="shared" si="18"/>
        <v>Vehicle General Asset</v>
      </c>
      <c r="C109" s="1160" t="str">
        <f t="shared" si="18"/>
        <v>N.A.</v>
      </c>
      <c r="D109" s="1010" t="str">
        <f t="shared" si="18"/>
        <v>-</v>
      </c>
      <c r="E109" s="1329">
        <f t="shared" si="18"/>
        <v>0</v>
      </c>
      <c r="F109" s="1334">
        <f t="shared" si="8"/>
        <v>0.17288522700000003</v>
      </c>
      <c r="G109" s="1334">
        <f t="shared" si="9"/>
        <v>0.17288522700000003</v>
      </c>
      <c r="H109" s="1334">
        <f t="shared" si="10"/>
        <v>0</v>
      </c>
      <c r="I109" s="1327">
        <v>0</v>
      </c>
      <c r="J109" s="1327">
        <v>0</v>
      </c>
      <c r="K109" s="1334"/>
      <c r="L109" s="1334"/>
      <c r="M109" s="1334">
        <f t="shared" si="15"/>
        <v>0</v>
      </c>
      <c r="N109" s="1334">
        <f t="shared" si="12"/>
        <v>0</v>
      </c>
    </row>
    <row r="110" spans="1:16" ht="31.5" outlineLevel="1" thickBot="1" x14ac:dyDescent="0.3">
      <c r="A110" s="1160">
        <f t="shared" si="18"/>
        <v>8</v>
      </c>
      <c r="B110" s="1328" t="str">
        <f t="shared" si="18"/>
        <v>Numerical protection system at Pawana Hydro Power Station</v>
      </c>
      <c r="C110" s="1160" t="str">
        <f t="shared" si="18"/>
        <v>N.A.</v>
      </c>
      <c r="D110" s="1010" t="str">
        <f t="shared" si="18"/>
        <v>-</v>
      </c>
      <c r="E110" s="1329">
        <f t="shared" si="18"/>
        <v>0</v>
      </c>
      <c r="F110" s="1334">
        <f t="shared" si="8"/>
        <v>0.33023999999999998</v>
      </c>
      <c r="G110" s="1334">
        <f t="shared" si="9"/>
        <v>0.33023999999999998</v>
      </c>
      <c r="H110" s="1334">
        <f t="shared" si="10"/>
        <v>0</v>
      </c>
      <c r="I110" s="1327">
        <v>0</v>
      </c>
      <c r="J110" s="1327">
        <v>0</v>
      </c>
      <c r="K110" s="1334"/>
      <c r="L110" s="1334"/>
      <c r="M110" s="1334">
        <f t="shared" si="15"/>
        <v>0</v>
      </c>
      <c r="N110" s="1334">
        <f t="shared" si="12"/>
        <v>0</v>
      </c>
    </row>
    <row r="111" spans="1:16" ht="16" thickBot="1" x14ac:dyDescent="0.3">
      <c r="A111" s="1009"/>
      <c r="B111" s="1008" t="str">
        <f t="shared" ref="B111" si="19">B58</f>
        <v>Total</v>
      </c>
      <c r="C111" s="1007"/>
      <c r="D111" s="1006"/>
      <c r="E111" s="1331"/>
      <c r="F111" s="1332">
        <f>SUM(F63:F110)</f>
        <v>28.821937219000002</v>
      </c>
      <c r="G111" s="1332">
        <f>SUM(G63:G110)</f>
        <v>16.752382498999999</v>
      </c>
      <c r="H111" s="1332">
        <f>SUM(H63:H110)</f>
        <v>12.069554720000001</v>
      </c>
      <c r="I111" s="1332">
        <f>SUM(I63:I110)</f>
        <v>3.8785684419999997</v>
      </c>
      <c r="J111" s="1332">
        <f>SUM(J63:J110)</f>
        <v>3.8785684419999997</v>
      </c>
      <c r="K111" s="1332">
        <f t="shared" ref="K111:N111" si="20">SUM(K63:K110)</f>
        <v>0</v>
      </c>
      <c r="L111" s="1332">
        <f t="shared" si="20"/>
        <v>0</v>
      </c>
      <c r="M111" s="1332">
        <f t="shared" si="20"/>
        <v>3.8785684419999997</v>
      </c>
      <c r="N111" s="1332">
        <f t="shared" si="20"/>
        <v>12.069554720000001</v>
      </c>
    </row>
    <row r="112" spans="1:16" ht="15.5" x14ac:dyDescent="0.25">
      <c r="A112" s="1013"/>
      <c r="B112" s="1021"/>
      <c r="C112" s="1020"/>
      <c r="D112" s="1019"/>
      <c r="E112" s="1312"/>
      <c r="F112" s="1333"/>
      <c r="G112" s="1333"/>
      <c r="H112" s="1333"/>
      <c r="I112" s="1333"/>
      <c r="J112" s="1333"/>
      <c r="K112" s="1333"/>
      <c r="L112" s="1333"/>
      <c r="M112" s="1333"/>
      <c r="N112" s="1333"/>
      <c r="O112" s="1013"/>
      <c r="P112" s="1013"/>
    </row>
    <row r="113" spans="1:17" s="1013" customFormat="1" ht="15.5" x14ac:dyDescent="0.25">
      <c r="A113" s="1319"/>
      <c r="B113" s="1018" t="s">
        <v>521</v>
      </c>
      <c r="C113" s="1320"/>
      <c r="D113" s="1321"/>
      <c r="E113" s="1322"/>
      <c r="F113" s="1211"/>
      <c r="G113" s="1211"/>
      <c r="H113" s="1211"/>
      <c r="I113" s="1211"/>
      <c r="J113" s="1211"/>
      <c r="K113" s="1211"/>
      <c r="L113" s="1211"/>
      <c r="M113" s="1211"/>
      <c r="N113" s="1211"/>
    </row>
    <row r="114" spans="1:17" ht="15.5" outlineLevel="1" x14ac:dyDescent="0.35">
      <c r="A114" s="1319"/>
      <c r="B114" s="1017" t="str">
        <f t="shared" ref="B114:E129" si="21">B61</f>
        <v>a) DPR Schemes</v>
      </c>
      <c r="C114" s="1320"/>
      <c r="D114" s="1321"/>
      <c r="E114" s="1322"/>
      <c r="F114" s="1211"/>
      <c r="G114" s="1211"/>
      <c r="H114" s="1211"/>
      <c r="I114" s="1211"/>
      <c r="J114" s="1211"/>
      <c r="K114" s="1211"/>
      <c r="L114" s="1211"/>
      <c r="M114" s="1211"/>
      <c r="N114" s="1211"/>
      <c r="O114" s="1013"/>
      <c r="P114" s="1013"/>
    </row>
    <row r="115" spans="1:17" ht="15.5" outlineLevel="1" x14ac:dyDescent="0.25">
      <c r="A115" s="1150"/>
      <c r="B115" s="1150" t="str">
        <f t="shared" si="21"/>
        <v>(i) Submitted to MERC</v>
      </c>
      <c r="C115" s="1323"/>
      <c r="D115" s="1324"/>
      <c r="E115" s="1322"/>
      <c r="F115" s="1211"/>
      <c r="G115" s="1211"/>
      <c r="H115" s="1211"/>
      <c r="I115" s="1211"/>
      <c r="J115" s="1211"/>
      <c r="K115" s="1211"/>
      <c r="L115" s="1211"/>
      <c r="M115" s="1211"/>
      <c r="N115" s="1211"/>
      <c r="O115" s="1013"/>
      <c r="P115" s="1013"/>
    </row>
    <row r="116" spans="1:17" s="1013" customFormat="1" ht="31" outlineLevel="1" x14ac:dyDescent="0.25">
      <c r="A116" s="1153">
        <f t="shared" ref="A116:E131" si="22">A63</f>
        <v>2</v>
      </c>
      <c r="B116" s="1154" t="str">
        <f t="shared" si="21"/>
        <v>Various schemes of Hydro Power Stations at HPC Pune &amp; HPC Nasik</v>
      </c>
      <c r="C116" s="1153" t="str">
        <f t="shared" si="21"/>
        <v>MERC/TECH 12/CAPEX/20142015/00876</v>
      </c>
      <c r="D116" s="1325">
        <f t="shared" si="21"/>
        <v>41871</v>
      </c>
      <c r="E116" s="1326">
        <f t="shared" si="21"/>
        <v>1.5511999999999999</v>
      </c>
      <c r="F116" s="1327">
        <f t="shared" ref="F116:F163" si="23">F63+I63</f>
        <v>0</v>
      </c>
      <c r="G116" s="1327">
        <f t="shared" ref="G116:G163" si="24">G63+M63</f>
        <v>0</v>
      </c>
      <c r="H116" s="1327">
        <f t="shared" ref="H116:H163" si="25">F116-G116</f>
        <v>0</v>
      </c>
      <c r="I116" s="1327">
        <v>0</v>
      </c>
      <c r="J116" s="1327">
        <v>0</v>
      </c>
      <c r="K116" s="1327"/>
      <c r="L116" s="1327"/>
      <c r="M116" s="1327">
        <f t="shared" ref="M116" si="26">SUM(J116:L116)</f>
        <v>0</v>
      </c>
      <c r="N116" s="1327">
        <f t="shared" ref="N116:N163" si="27">H116+I116-M116</f>
        <v>0</v>
      </c>
      <c r="O116" s="1159">
        <f t="shared" ref="O116:O138" si="28">MAX(0,IF(M116=0,0,IF(G116+M116&lt;E116,M116,E116-G116)))</f>
        <v>0</v>
      </c>
      <c r="P116" s="1014">
        <f t="shared" ref="P116:P138" si="29">M116-O116</f>
        <v>0</v>
      </c>
    </row>
    <row r="117" spans="1:17" ht="31" outlineLevel="1" x14ac:dyDescent="0.25">
      <c r="A117" s="1160">
        <f t="shared" si="22"/>
        <v>2.4</v>
      </c>
      <c r="B117" s="1328" t="str">
        <f t="shared" si="21"/>
        <v>Replacement of existing AVR by SEE DVR system for Varasgaon Hydro Power Station.</v>
      </c>
      <c r="C117" s="1160" t="str">
        <f t="shared" si="21"/>
        <v>MERC/TECH 12/CAPEX/20142015/00876</v>
      </c>
      <c r="D117" s="1010">
        <f t="shared" si="21"/>
        <v>41871</v>
      </c>
      <c r="E117" s="1329">
        <f t="shared" si="21"/>
        <v>0.52</v>
      </c>
      <c r="F117" s="1334">
        <f t="shared" si="23"/>
        <v>0.30932749999999998</v>
      </c>
      <c r="G117" s="1334">
        <f t="shared" si="24"/>
        <v>0.30932749999999998</v>
      </c>
      <c r="H117" s="1334">
        <f t="shared" si="25"/>
        <v>0</v>
      </c>
      <c r="I117" s="1327">
        <v>0</v>
      </c>
      <c r="J117" s="1327">
        <v>0</v>
      </c>
      <c r="K117" s="1334"/>
      <c r="L117" s="1334"/>
      <c r="M117" s="1334">
        <f t="shared" ref="M117:M137" si="30">SUM(J117:L117)</f>
        <v>0</v>
      </c>
      <c r="N117" s="1334">
        <f t="shared" si="27"/>
        <v>0</v>
      </c>
      <c r="O117" s="1159">
        <f t="shared" si="28"/>
        <v>0</v>
      </c>
      <c r="P117" s="1014">
        <f t="shared" si="29"/>
        <v>0</v>
      </c>
    </row>
    <row r="118" spans="1:17" ht="31" outlineLevel="1" x14ac:dyDescent="0.25">
      <c r="A118" s="1160">
        <f t="shared" si="22"/>
        <v>2.5</v>
      </c>
      <c r="B118" s="1328" t="str">
        <f t="shared" si="21"/>
        <v xml:space="preserve"> Construction of Resthouse at Dimbhe HPS</v>
      </c>
      <c r="C118" s="1160" t="str">
        <f t="shared" si="21"/>
        <v>MERC/TECH 12/CAPEX/20142015/00876</v>
      </c>
      <c r="D118" s="1010">
        <f t="shared" si="21"/>
        <v>41871</v>
      </c>
      <c r="E118" s="1329">
        <f t="shared" si="21"/>
        <v>0.7</v>
      </c>
      <c r="F118" s="1334">
        <f t="shared" si="23"/>
        <v>0.73791230399999996</v>
      </c>
      <c r="G118" s="1334">
        <f t="shared" si="24"/>
        <v>0.73791230399999996</v>
      </c>
      <c r="H118" s="1334">
        <f t="shared" si="25"/>
        <v>0</v>
      </c>
      <c r="I118" s="1327">
        <v>0</v>
      </c>
      <c r="J118" s="1327">
        <v>0</v>
      </c>
      <c r="K118" s="1334"/>
      <c r="L118" s="1334"/>
      <c r="M118" s="1334">
        <f t="shared" si="30"/>
        <v>0</v>
      </c>
      <c r="N118" s="1334">
        <f t="shared" si="27"/>
        <v>0</v>
      </c>
      <c r="O118" s="1159">
        <f t="shared" si="28"/>
        <v>0</v>
      </c>
      <c r="P118" s="1014">
        <f t="shared" si="29"/>
        <v>0</v>
      </c>
      <c r="Q118" s="1013"/>
    </row>
    <row r="119" spans="1:17" ht="31" outlineLevel="1" x14ac:dyDescent="0.25">
      <c r="A119" s="1160">
        <f t="shared" si="22"/>
        <v>0</v>
      </c>
      <c r="B119" s="1328" t="str">
        <f t="shared" si="21"/>
        <v>IDC</v>
      </c>
      <c r="C119" s="1160" t="str">
        <f t="shared" si="21"/>
        <v>MERC/TECH 12/CAPEX/20142015/00876</v>
      </c>
      <c r="D119" s="1010">
        <f t="shared" si="21"/>
        <v>41871</v>
      </c>
      <c r="E119" s="1329">
        <f t="shared" si="21"/>
        <v>0.33119999999999999</v>
      </c>
      <c r="F119" s="1334">
        <f t="shared" si="23"/>
        <v>0</v>
      </c>
      <c r="G119" s="1334">
        <f t="shared" si="24"/>
        <v>0</v>
      </c>
      <c r="H119" s="1334">
        <f t="shared" si="25"/>
        <v>0</v>
      </c>
      <c r="I119" s="1327">
        <v>0</v>
      </c>
      <c r="J119" s="1327">
        <v>0</v>
      </c>
      <c r="K119" s="1334"/>
      <c r="L119" s="1334"/>
      <c r="M119" s="1334">
        <f t="shared" si="30"/>
        <v>0</v>
      </c>
      <c r="N119" s="1334">
        <f t="shared" si="27"/>
        <v>0</v>
      </c>
      <c r="O119" s="1159">
        <f t="shared" si="28"/>
        <v>0</v>
      </c>
      <c r="P119" s="1014">
        <f t="shared" si="29"/>
        <v>0</v>
      </c>
      <c r="Q119" s="1013"/>
    </row>
    <row r="120" spans="1:17" s="1013" customFormat="1" ht="31" outlineLevel="1" x14ac:dyDescent="0.25">
      <c r="A120" s="1153">
        <f t="shared" si="22"/>
        <v>5</v>
      </c>
      <c r="B120" s="1154" t="str">
        <f t="shared" si="21"/>
        <v>Various Civil schemes for Modernisations of colonies at Various Locations under Pune HPC</v>
      </c>
      <c r="C120" s="1153" t="str">
        <f t="shared" si="21"/>
        <v>MERC/CAPEX/20162017/01745</v>
      </c>
      <c r="D120" s="1325">
        <f t="shared" si="21"/>
        <v>42825</v>
      </c>
      <c r="E120" s="1326">
        <f t="shared" si="21"/>
        <v>12.812999999999999</v>
      </c>
      <c r="F120" s="1327">
        <f t="shared" si="23"/>
        <v>0</v>
      </c>
      <c r="G120" s="1327">
        <f t="shared" si="24"/>
        <v>0</v>
      </c>
      <c r="H120" s="1327">
        <f t="shared" si="25"/>
        <v>0</v>
      </c>
      <c r="I120" s="1327">
        <v>0</v>
      </c>
      <c r="J120" s="1327">
        <v>0</v>
      </c>
      <c r="K120" s="1327"/>
      <c r="L120" s="1327"/>
      <c r="M120" s="1327">
        <f t="shared" si="30"/>
        <v>0</v>
      </c>
      <c r="N120" s="1327">
        <f t="shared" si="27"/>
        <v>0</v>
      </c>
      <c r="O120" s="1159">
        <f t="shared" si="28"/>
        <v>0</v>
      </c>
      <c r="P120" s="1014">
        <f t="shared" si="29"/>
        <v>0</v>
      </c>
    </row>
    <row r="121" spans="1:17" ht="15.5" outlineLevel="1" x14ac:dyDescent="0.25">
      <c r="A121" s="1160">
        <f t="shared" si="22"/>
        <v>5.0999999999999996</v>
      </c>
      <c r="B121" s="1328" t="str">
        <f t="shared" si="21"/>
        <v>Refurbishing of Residential complex</v>
      </c>
      <c r="C121" s="1160" t="str">
        <f t="shared" si="21"/>
        <v>MERC/CAPEX/20162017/01745</v>
      </c>
      <c r="D121" s="1010">
        <f t="shared" si="21"/>
        <v>42825</v>
      </c>
      <c r="E121" s="1329">
        <f t="shared" si="21"/>
        <v>2.415</v>
      </c>
      <c r="F121" s="1334">
        <f t="shared" si="23"/>
        <v>1.2675034840000001</v>
      </c>
      <c r="G121" s="1334">
        <f t="shared" si="24"/>
        <v>1.2675034840000001</v>
      </c>
      <c r="H121" s="1334">
        <f t="shared" si="25"/>
        <v>0</v>
      </c>
      <c r="I121" s="1327">
        <v>0</v>
      </c>
      <c r="J121" s="1327">
        <v>0</v>
      </c>
      <c r="K121" s="1334"/>
      <c r="L121" s="1334"/>
      <c r="M121" s="1334">
        <f t="shared" si="30"/>
        <v>0</v>
      </c>
      <c r="N121" s="1334">
        <f t="shared" si="27"/>
        <v>0</v>
      </c>
      <c r="O121" s="1159">
        <f t="shared" si="28"/>
        <v>0</v>
      </c>
      <c r="P121" s="1014">
        <f t="shared" si="29"/>
        <v>0</v>
      </c>
      <c r="Q121" s="1013"/>
    </row>
    <row r="122" spans="1:17" ht="15.5" outlineLevel="1" x14ac:dyDescent="0.25">
      <c r="A122" s="1160">
        <f t="shared" si="22"/>
        <v>5.2</v>
      </c>
      <c r="B122" s="1328" t="str">
        <f t="shared" si="21"/>
        <v>Internal Roads</v>
      </c>
      <c r="C122" s="1160" t="str">
        <f t="shared" si="21"/>
        <v>MERC/CAPEX/20162017/01745</v>
      </c>
      <c r="D122" s="1010">
        <f t="shared" si="21"/>
        <v>42825</v>
      </c>
      <c r="E122" s="1329">
        <f t="shared" si="21"/>
        <v>2.29</v>
      </c>
      <c r="F122" s="1334">
        <f t="shared" si="23"/>
        <v>1.6182413759999996</v>
      </c>
      <c r="G122" s="1334">
        <f t="shared" si="24"/>
        <v>1.6182413759999998</v>
      </c>
      <c r="H122" s="1334">
        <f t="shared" si="25"/>
        <v>0</v>
      </c>
      <c r="I122" s="1327">
        <v>0</v>
      </c>
      <c r="J122" s="1327">
        <v>0</v>
      </c>
      <c r="K122" s="1334"/>
      <c r="L122" s="1334"/>
      <c r="M122" s="1334">
        <f t="shared" si="30"/>
        <v>0</v>
      </c>
      <c r="N122" s="1334">
        <f t="shared" si="27"/>
        <v>0</v>
      </c>
      <c r="O122" s="1159">
        <f t="shared" si="28"/>
        <v>0</v>
      </c>
      <c r="P122" s="1014">
        <f t="shared" si="29"/>
        <v>0</v>
      </c>
      <c r="Q122" s="1013"/>
    </row>
    <row r="123" spans="1:17" ht="15.5" outlineLevel="1" x14ac:dyDescent="0.25">
      <c r="A123" s="1160">
        <f t="shared" si="22"/>
        <v>5.3</v>
      </c>
      <c r="B123" s="1328" t="str">
        <f t="shared" si="21"/>
        <v>Water supply, filteration &amp;  Sanitary works</v>
      </c>
      <c r="C123" s="1160" t="str">
        <f t="shared" si="21"/>
        <v>MERC/CAPEX/20162017/01745</v>
      </c>
      <c r="D123" s="1010">
        <f t="shared" si="21"/>
        <v>42825</v>
      </c>
      <c r="E123" s="1329">
        <f t="shared" si="21"/>
        <v>1.427</v>
      </c>
      <c r="F123" s="1334">
        <f t="shared" si="23"/>
        <v>0.57282329500000007</v>
      </c>
      <c r="G123" s="1334">
        <f t="shared" si="24"/>
        <v>0.57282329500000007</v>
      </c>
      <c r="H123" s="1334">
        <f t="shared" si="25"/>
        <v>0</v>
      </c>
      <c r="I123" s="1327">
        <v>0</v>
      </c>
      <c r="J123" s="1327">
        <v>0</v>
      </c>
      <c r="K123" s="1334"/>
      <c r="L123" s="1334"/>
      <c r="M123" s="1334">
        <f t="shared" si="30"/>
        <v>0</v>
      </c>
      <c r="N123" s="1334">
        <f t="shared" si="27"/>
        <v>0</v>
      </c>
      <c r="O123" s="1159">
        <f t="shared" si="28"/>
        <v>0</v>
      </c>
      <c r="P123" s="1014">
        <f t="shared" si="29"/>
        <v>0</v>
      </c>
      <c r="Q123" s="1013"/>
    </row>
    <row r="124" spans="1:17" ht="15.5" outlineLevel="1" x14ac:dyDescent="0.25">
      <c r="A124" s="1160">
        <f t="shared" si="22"/>
        <v>5.4</v>
      </c>
      <c r="B124" s="1328" t="str">
        <f t="shared" si="21"/>
        <v>Compound walls</v>
      </c>
      <c r="C124" s="1160" t="str">
        <f t="shared" si="21"/>
        <v>MERC/CAPEX/20162017/01745</v>
      </c>
      <c r="D124" s="1010">
        <f t="shared" si="21"/>
        <v>42825</v>
      </c>
      <c r="E124" s="1329">
        <f t="shared" si="21"/>
        <v>6.681</v>
      </c>
      <c r="F124" s="1334">
        <f t="shared" si="23"/>
        <v>7.5560763239999993</v>
      </c>
      <c r="G124" s="1334">
        <f t="shared" si="24"/>
        <v>7.5560763239999993</v>
      </c>
      <c r="H124" s="1334">
        <f t="shared" si="25"/>
        <v>0</v>
      </c>
      <c r="I124" s="1327">
        <v>0</v>
      </c>
      <c r="J124" s="1327">
        <v>0</v>
      </c>
      <c r="K124" s="1334"/>
      <c r="L124" s="1334"/>
      <c r="M124" s="1334">
        <f t="shared" si="30"/>
        <v>0</v>
      </c>
      <c r="N124" s="1334">
        <f t="shared" si="27"/>
        <v>0</v>
      </c>
      <c r="O124" s="1159">
        <f t="shared" si="28"/>
        <v>0</v>
      </c>
      <c r="P124" s="1014">
        <f t="shared" si="29"/>
        <v>0</v>
      </c>
      <c r="Q124" s="1013">
        <v>-2.3408937000000074E-2</v>
      </c>
    </row>
    <row r="125" spans="1:17" s="1013" customFormat="1" ht="31" outlineLevel="1" x14ac:dyDescent="0.25">
      <c r="A125" s="1153">
        <f t="shared" si="22"/>
        <v>14</v>
      </c>
      <c r="B125" s="1154" t="str">
        <f t="shared" si="21"/>
        <v>Various 14 Nos. of schemes for Hydro Power Stations under Renewable Energy Circle, Pune &amp; Nasik</v>
      </c>
      <c r="C125" s="1153" t="str">
        <f t="shared" si="21"/>
        <v>MERC/CAPEX/2020-21/WFH/SBR/ 19</v>
      </c>
      <c r="D125" s="1325">
        <f t="shared" si="21"/>
        <v>44029</v>
      </c>
      <c r="E125" s="1326">
        <f t="shared" si="21"/>
        <v>1.9079999999999999</v>
      </c>
      <c r="F125" s="1327">
        <f t="shared" si="23"/>
        <v>0</v>
      </c>
      <c r="G125" s="1327">
        <f t="shared" si="24"/>
        <v>0</v>
      </c>
      <c r="H125" s="1327">
        <f t="shared" si="25"/>
        <v>0</v>
      </c>
      <c r="I125" s="1327">
        <v>0</v>
      </c>
      <c r="J125" s="1327">
        <v>0</v>
      </c>
      <c r="K125" s="1327"/>
      <c r="L125" s="1327"/>
      <c r="M125" s="1327">
        <f t="shared" si="30"/>
        <v>0</v>
      </c>
      <c r="N125" s="1327">
        <f t="shared" si="27"/>
        <v>0</v>
      </c>
      <c r="O125" s="1159">
        <f t="shared" si="28"/>
        <v>0</v>
      </c>
      <c r="P125" s="1014">
        <f t="shared" si="29"/>
        <v>0</v>
      </c>
    </row>
    <row r="126" spans="1:17" ht="31" outlineLevel="1" x14ac:dyDescent="0.25">
      <c r="A126" s="1160">
        <f t="shared" si="22"/>
        <v>14.1</v>
      </c>
      <c r="B126" s="1328" t="str">
        <f t="shared" si="21"/>
        <v>Schme-A: Retrofitting of 12 KV Breakers at Ujjani Hydro Power Station</v>
      </c>
      <c r="C126" s="1160" t="str">
        <f t="shared" si="21"/>
        <v>MERC/CAPEX/2020-21/WFH/SBR/ 19</v>
      </c>
      <c r="D126" s="1010">
        <f t="shared" si="21"/>
        <v>44029</v>
      </c>
      <c r="E126" s="1329">
        <f t="shared" si="21"/>
        <v>0.39500000000000002</v>
      </c>
      <c r="F126" s="1334">
        <f t="shared" si="23"/>
        <v>0.26762399999999997</v>
      </c>
      <c r="G126" s="1334">
        <f t="shared" si="24"/>
        <v>0.26762399999999997</v>
      </c>
      <c r="H126" s="1334">
        <f t="shared" si="25"/>
        <v>0</v>
      </c>
      <c r="I126" s="1327">
        <v>0</v>
      </c>
      <c r="J126" s="1327">
        <v>0</v>
      </c>
      <c r="K126" s="1334"/>
      <c r="L126" s="1334"/>
      <c r="M126" s="1334">
        <f t="shared" si="30"/>
        <v>0</v>
      </c>
      <c r="N126" s="1334">
        <f t="shared" si="27"/>
        <v>0</v>
      </c>
      <c r="O126" s="1159">
        <f t="shared" si="28"/>
        <v>0</v>
      </c>
      <c r="P126" s="1014">
        <f t="shared" si="29"/>
        <v>0</v>
      </c>
      <c r="Q126" s="1013"/>
    </row>
    <row r="127" spans="1:17" ht="31" outlineLevel="1" x14ac:dyDescent="0.25">
      <c r="A127" s="1160">
        <f t="shared" si="22"/>
        <v>14.3</v>
      </c>
      <c r="B127" s="1328" t="str">
        <f t="shared" si="21"/>
        <v>Schme-C :Replacement of existing Energy meters by 0.2S Class Energy meters at various HPS.</v>
      </c>
      <c r="C127" s="1160" t="str">
        <f t="shared" si="21"/>
        <v>MERC/CAPEX/2020-21/WFH/SBR/ 19</v>
      </c>
      <c r="D127" s="1010">
        <f t="shared" si="21"/>
        <v>44029</v>
      </c>
      <c r="E127" s="1329">
        <f t="shared" si="21"/>
        <v>0.10199999999999999</v>
      </c>
      <c r="F127" s="1334">
        <f t="shared" si="23"/>
        <v>9.6156000000000005E-2</v>
      </c>
      <c r="G127" s="1334">
        <f t="shared" si="24"/>
        <v>7.969248000000001E-2</v>
      </c>
      <c r="H127" s="1334">
        <f t="shared" si="25"/>
        <v>1.6463519999999995E-2</v>
      </c>
      <c r="I127" s="1327">
        <v>0</v>
      </c>
      <c r="J127" s="1327">
        <v>0</v>
      </c>
      <c r="K127" s="1334"/>
      <c r="L127" s="1334"/>
      <c r="M127" s="1334">
        <f t="shared" si="30"/>
        <v>0</v>
      </c>
      <c r="N127" s="1334">
        <f t="shared" si="27"/>
        <v>1.6463519999999995E-2</v>
      </c>
      <c r="O127" s="1159">
        <f t="shared" si="28"/>
        <v>0</v>
      </c>
      <c r="P127" s="1014">
        <f t="shared" si="29"/>
        <v>0</v>
      </c>
      <c r="Q127" s="1013"/>
    </row>
    <row r="128" spans="1:17" ht="31" outlineLevel="1" x14ac:dyDescent="0.25">
      <c r="A128" s="1160">
        <f t="shared" si="22"/>
        <v>14.4</v>
      </c>
      <c r="B128" s="1328" t="str">
        <f t="shared" si="21"/>
        <v>Schme-D: Providing Oil Filtration Machines for all Divisions of REC, Pune</v>
      </c>
      <c r="C128" s="1160" t="str">
        <f t="shared" si="21"/>
        <v>MERC/CAPEX/2020-21/WFH/SBR/ 19</v>
      </c>
      <c r="D128" s="1010">
        <f t="shared" si="21"/>
        <v>44029</v>
      </c>
      <c r="E128" s="1329">
        <f t="shared" si="21"/>
        <v>0.56100000000000005</v>
      </c>
      <c r="F128" s="1334">
        <f t="shared" si="23"/>
        <v>0.2723912</v>
      </c>
      <c r="G128" s="1334">
        <f t="shared" si="24"/>
        <v>0.2723912</v>
      </c>
      <c r="H128" s="1334">
        <f t="shared" si="25"/>
        <v>0</v>
      </c>
      <c r="I128" s="1327">
        <v>0</v>
      </c>
      <c r="J128" s="1327">
        <v>0</v>
      </c>
      <c r="K128" s="1334"/>
      <c r="L128" s="1334"/>
      <c r="M128" s="1334">
        <f t="shared" si="30"/>
        <v>0</v>
      </c>
      <c r="N128" s="1334">
        <f t="shared" si="27"/>
        <v>0</v>
      </c>
      <c r="O128" s="1159">
        <f t="shared" si="28"/>
        <v>0</v>
      </c>
      <c r="P128" s="1014">
        <f t="shared" si="29"/>
        <v>0</v>
      </c>
      <c r="Q128" s="1013"/>
    </row>
    <row r="129" spans="1:17" ht="15.5" outlineLevel="1" x14ac:dyDescent="0.25">
      <c r="A129" s="1160">
        <f t="shared" si="22"/>
        <v>0</v>
      </c>
      <c r="B129" s="1328" t="str">
        <f t="shared" si="21"/>
        <v>IDC</v>
      </c>
      <c r="C129" s="1160" t="str">
        <f t="shared" si="21"/>
        <v>MERC/CAPEX/2020-21/WFH/SBR/ 19</v>
      </c>
      <c r="D129" s="1010">
        <f t="shared" si="21"/>
        <v>44029</v>
      </c>
      <c r="E129" s="1329">
        <f t="shared" si="21"/>
        <v>0.85</v>
      </c>
      <c r="F129" s="1334">
        <f t="shared" si="23"/>
        <v>0</v>
      </c>
      <c r="G129" s="1334">
        <f t="shared" si="24"/>
        <v>0</v>
      </c>
      <c r="H129" s="1334">
        <f t="shared" si="25"/>
        <v>0</v>
      </c>
      <c r="I129" s="1327">
        <v>0</v>
      </c>
      <c r="J129" s="1327">
        <v>0</v>
      </c>
      <c r="K129" s="1334"/>
      <c r="L129" s="1334"/>
      <c r="M129" s="1334">
        <f t="shared" si="30"/>
        <v>0</v>
      </c>
      <c r="N129" s="1334">
        <f t="shared" si="27"/>
        <v>0</v>
      </c>
      <c r="O129" s="1159">
        <f t="shared" si="28"/>
        <v>0</v>
      </c>
      <c r="P129" s="1014">
        <f t="shared" si="29"/>
        <v>0</v>
      </c>
      <c r="Q129" s="1013"/>
    </row>
    <row r="130" spans="1:17" s="1013" customFormat="1" ht="31" outlineLevel="1" x14ac:dyDescent="0.25">
      <c r="A130" s="1153">
        <f t="shared" si="22"/>
        <v>16</v>
      </c>
      <c r="B130" s="1154" t="str">
        <f t="shared" si="22"/>
        <v>Various 6 Nos. Schemes for Hydro Power Stations under Renewable Energy Circle, Pune</v>
      </c>
      <c r="C130" s="1153" t="str">
        <f t="shared" si="22"/>
        <v>MERC/CAPEX/2020-2021/WFH/ SBR/22</v>
      </c>
      <c r="D130" s="1325">
        <f t="shared" si="22"/>
        <v>44037</v>
      </c>
      <c r="E130" s="1326">
        <f t="shared" si="22"/>
        <v>10.861000000000001</v>
      </c>
      <c r="F130" s="1327">
        <f t="shared" si="23"/>
        <v>0</v>
      </c>
      <c r="G130" s="1327">
        <f t="shared" si="24"/>
        <v>0</v>
      </c>
      <c r="H130" s="1327">
        <f t="shared" si="25"/>
        <v>0</v>
      </c>
      <c r="I130" s="1327">
        <v>0</v>
      </c>
      <c r="J130" s="1327">
        <v>0</v>
      </c>
      <c r="K130" s="1327"/>
      <c r="L130" s="1327"/>
      <c r="M130" s="1327">
        <f t="shared" si="30"/>
        <v>0</v>
      </c>
      <c r="N130" s="1327">
        <f t="shared" si="27"/>
        <v>0</v>
      </c>
      <c r="O130" s="1159">
        <f t="shared" si="28"/>
        <v>0</v>
      </c>
      <c r="P130" s="1014">
        <f t="shared" si="29"/>
        <v>0</v>
      </c>
    </row>
    <row r="131" spans="1:17" ht="31" outlineLevel="1" x14ac:dyDescent="0.25">
      <c r="A131" s="1160">
        <f t="shared" si="22"/>
        <v>16.100000000000001</v>
      </c>
      <c r="B131" s="1328" t="str">
        <f t="shared" si="22"/>
        <v>Replacement of existing Air Compressors at Bhira, Tilari, Pawana and Ujjani Hydro Power Stations under REC, Pune</v>
      </c>
      <c r="C131" s="1160" t="str">
        <f t="shared" si="22"/>
        <v>MERC/CAPEX/2020-2021/WFH/ SBR/22</v>
      </c>
      <c r="D131" s="1010">
        <f t="shared" si="22"/>
        <v>44037</v>
      </c>
      <c r="E131" s="1329">
        <f t="shared" si="22"/>
        <v>0.95099999999999996</v>
      </c>
      <c r="F131" s="1334">
        <f t="shared" si="23"/>
        <v>0</v>
      </c>
      <c r="G131" s="1334">
        <f t="shared" si="24"/>
        <v>0</v>
      </c>
      <c r="H131" s="1334">
        <f t="shared" si="25"/>
        <v>0</v>
      </c>
      <c r="I131" s="1327">
        <v>0.13</v>
      </c>
      <c r="J131" s="1327">
        <v>0.13</v>
      </c>
      <c r="K131" s="1334"/>
      <c r="L131" s="1334"/>
      <c r="M131" s="1334">
        <f t="shared" si="30"/>
        <v>0.13</v>
      </c>
      <c r="N131" s="1334">
        <f t="shared" si="27"/>
        <v>0</v>
      </c>
      <c r="O131" s="1159">
        <f t="shared" si="28"/>
        <v>0.13</v>
      </c>
      <c r="P131" s="1014">
        <f t="shared" si="29"/>
        <v>0</v>
      </c>
      <c r="Q131" s="1013"/>
    </row>
    <row r="132" spans="1:17" ht="62" outlineLevel="1" x14ac:dyDescent="0.25">
      <c r="A132" s="1160">
        <f t="shared" ref="A132:E147" si="31">A79</f>
        <v>16.2</v>
      </c>
      <c r="B132" s="1328" t="str">
        <f t="shared" si="31"/>
        <v>Replacement of existing Air conditioners of Plant Control Rooms at Ujjani, Warna, Kanher, Dhom, Dimbhe &amp; Dudhganga
HPS.</v>
      </c>
      <c r="C132" s="1160" t="str">
        <f t="shared" si="31"/>
        <v>MERC/CAPEX/2020-2021/WFH/ SBR/22</v>
      </c>
      <c r="D132" s="1010">
        <f t="shared" si="31"/>
        <v>44037</v>
      </c>
      <c r="E132" s="1329">
        <f t="shared" si="31"/>
        <v>0.29199999999999998</v>
      </c>
      <c r="F132" s="1334">
        <f t="shared" si="23"/>
        <v>0.25256440000000002</v>
      </c>
      <c r="G132" s="1334">
        <f t="shared" si="24"/>
        <v>0.25256440000000002</v>
      </c>
      <c r="H132" s="1334">
        <f t="shared" si="25"/>
        <v>0</v>
      </c>
      <c r="I132" s="1327">
        <v>0</v>
      </c>
      <c r="J132" s="1327">
        <v>0</v>
      </c>
      <c r="K132" s="1334"/>
      <c r="L132" s="1334"/>
      <c r="M132" s="1334">
        <f t="shared" si="30"/>
        <v>0</v>
      </c>
      <c r="N132" s="1334">
        <f t="shared" si="27"/>
        <v>0</v>
      </c>
      <c r="O132" s="1159">
        <f t="shared" si="28"/>
        <v>0</v>
      </c>
      <c r="P132" s="1014">
        <f t="shared" si="29"/>
        <v>0</v>
      </c>
      <c r="Q132" s="1013"/>
    </row>
    <row r="133" spans="1:17" ht="46.5" outlineLevel="1" x14ac:dyDescent="0.25">
      <c r="A133" s="1160">
        <f t="shared" si="31"/>
        <v>16.399999999999999</v>
      </c>
      <c r="B133" s="1328" t="str">
        <f t="shared" si="31"/>
        <v>Replacement of 220 V, 400/300 AH Battery set with Tubular type Battery Banks at Bhira, Tilari, Kanher, Dimbhe and Ujani Hydro Power Stations.</v>
      </c>
      <c r="C133" s="1160" t="str">
        <f t="shared" si="31"/>
        <v>MERC/CAPEX/2020-2021/WFH/ SBR/22</v>
      </c>
      <c r="D133" s="1010">
        <f t="shared" si="31"/>
        <v>44037</v>
      </c>
      <c r="E133" s="1329">
        <f t="shared" si="31"/>
        <v>0.89999999999999991</v>
      </c>
      <c r="F133" s="1334">
        <f t="shared" si="23"/>
        <v>0.35828399999999999</v>
      </c>
      <c r="G133" s="1334">
        <f t="shared" si="24"/>
        <v>0.35828399999999999</v>
      </c>
      <c r="H133" s="1334">
        <f t="shared" si="25"/>
        <v>0</v>
      </c>
      <c r="I133" s="1327">
        <v>0</v>
      </c>
      <c r="J133" s="1327">
        <v>0</v>
      </c>
      <c r="K133" s="1334"/>
      <c r="L133" s="1334"/>
      <c r="M133" s="1334">
        <f t="shared" si="30"/>
        <v>0</v>
      </c>
      <c r="N133" s="1334">
        <f t="shared" si="27"/>
        <v>0</v>
      </c>
      <c r="O133" s="1159">
        <f t="shared" si="28"/>
        <v>0</v>
      </c>
      <c r="P133" s="1014">
        <f t="shared" si="29"/>
        <v>0</v>
      </c>
      <c r="Q133" s="1013"/>
    </row>
    <row r="134" spans="1:17" ht="31" outlineLevel="1" x14ac:dyDescent="0.25">
      <c r="A134" s="1160">
        <f t="shared" si="31"/>
        <v>16.5</v>
      </c>
      <c r="B134" s="1328" t="str">
        <f t="shared" si="31"/>
        <v>Supply, installation and commissioning of Kaplan Turbine Runner Blades from BHEL (OEM) for Dudhganga U#1.</v>
      </c>
      <c r="C134" s="1160" t="str">
        <f t="shared" si="31"/>
        <v>MERC/CAPEX/2020-2021/WFH/ SBR/22</v>
      </c>
      <c r="D134" s="1010">
        <f t="shared" si="31"/>
        <v>44037</v>
      </c>
      <c r="E134" s="1329">
        <f t="shared" si="31"/>
        <v>4.657</v>
      </c>
      <c r="F134" s="1334">
        <f t="shared" si="23"/>
        <v>4.5730371359999999</v>
      </c>
      <c r="G134" s="1334">
        <f t="shared" si="24"/>
        <v>4.5799459359999997</v>
      </c>
      <c r="H134" s="1334">
        <f t="shared" si="25"/>
        <v>-6.9087999999997152E-3</v>
      </c>
      <c r="I134" s="1327">
        <v>0</v>
      </c>
      <c r="J134" s="1327">
        <v>0</v>
      </c>
      <c r="K134" s="1334"/>
      <c r="L134" s="1334"/>
      <c r="M134" s="1334">
        <f t="shared" si="30"/>
        <v>0</v>
      </c>
      <c r="N134" s="1334">
        <f t="shared" si="27"/>
        <v>-6.9087999999997152E-3</v>
      </c>
      <c r="O134" s="1159">
        <f t="shared" si="28"/>
        <v>0</v>
      </c>
      <c r="P134" s="1014">
        <f t="shared" si="29"/>
        <v>0</v>
      </c>
    </row>
    <row r="135" spans="1:17" ht="46.5" outlineLevel="1" x14ac:dyDescent="0.25">
      <c r="A135" s="1160">
        <f t="shared" si="31"/>
        <v>16.600000000000001</v>
      </c>
      <c r="B135" s="1328" t="str">
        <f t="shared" si="31"/>
        <v>Replacement of existing Protection Systems with Numerical Protection system at Bhira, Panshet, Varasgaon, Dimbhe &amp; Manikdoh HPS.</v>
      </c>
      <c r="C135" s="1160" t="str">
        <f t="shared" si="31"/>
        <v>MERC/CAPEX/2020-2021/WFH/ SBR/22</v>
      </c>
      <c r="D135" s="1010">
        <f t="shared" si="31"/>
        <v>44037</v>
      </c>
      <c r="E135" s="1329">
        <f t="shared" si="31"/>
        <v>3.6220000000000003</v>
      </c>
      <c r="F135" s="1334">
        <f t="shared" si="23"/>
        <v>0.53395000000000004</v>
      </c>
      <c r="G135" s="1334">
        <f t="shared" si="24"/>
        <v>0.53395000000000004</v>
      </c>
      <c r="H135" s="1334">
        <f t="shared" si="25"/>
        <v>0</v>
      </c>
      <c r="I135" s="1327">
        <v>1.6</v>
      </c>
      <c r="J135" s="1327">
        <v>1.6</v>
      </c>
      <c r="K135" s="1334"/>
      <c r="L135" s="1334"/>
      <c r="M135" s="1334">
        <f t="shared" si="30"/>
        <v>1.6</v>
      </c>
      <c r="N135" s="1334">
        <f t="shared" si="27"/>
        <v>0</v>
      </c>
      <c r="O135" s="1159">
        <f t="shared" si="28"/>
        <v>1.6</v>
      </c>
      <c r="P135" s="1014">
        <f t="shared" si="29"/>
        <v>0</v>
      </c>
    </row>
    <row r="136" spans="1:17" ht="31" outlineLevel="1" x14ac:dyDescent="0.25">
      <c r="A136" s="1160">
        <f t="shared" si="31"/>
        <v>0</v>
      </c>
      <c r="B136" s="1328" t="str">
        <f t="shared" si="31"/>
        <v>IDC</v>
      </c>
      <c r="C136" s="1160" t="str">
        <f t="shared" si="31"/>
        <v>MERC/CAPEX/2020-2021/WFH/ SBR/22</v>
      </c>
      <c r="D136" s="1010">
        <f t="shared" si="31"/>
        <v>44037</v>
      </c>
      <c r="E136" s="1329">
        <f t="shared" si="31"/>
        <v>0.439</v>
      </c>
      <c r="F136" s="1334">
        <f t="shared" si="23"/>
        <v>0</v>
      </c>
      <c r="G136" s="1334">
        <f t="shared" si="24"/>
        <v>0</v>
      </c>
      <c r="H136" s="1334">
        <f t="shared" si="25"/>
        <v>0</v>
      </c>
      <c r="I136" s="1327">
        <v>0</v>
      </c>
      <c r="J136" s="1327">
        <v>0</v>
      </c>
      <c r="K136" s="1334"/>
      <c r="L136" s="1334"/>
      <c r="M136" s="1334">
        <f t="shared" si="30"/>
        <v>0</v>
      </c>
      <c r="N136" s="1334">
        <f t="shared" si="27"/>
        <v>0</v>
      </c>
      <c r="O136" s="1159">
        <f t="shared" si="28"/>
        <v>0</v>
      </c>
      <c r="P136" s="1014">
        <f t="shared" si="29"/>
        <v>0</v>
      </c>
    </row>
    <row r="137" spans="1:17" ht="31" outlineLevel="1" x14ac:dyDescent="0.25">
      <c r="A137" s="1015">
        <f t="shared" si="31"/>
        <v>17</v>
      </c>
      <c r="B137" s="1016" t="str">
        <f t="shared" si="31"/>
        <v xml:space="preserve">Fortification near Panshet hydro power station for arresting rock falling on HPS Building at panshet . </v>
      </c>
      <c r="C137" s="1015" t="str">
        <f t="shared" si="31"/>
        <v xml:space="preserve">Not approved </v>
      </c>
      <c r="D137" s="1010" t="str">
        <f t="shared" si="31"/>
        <v>-</v>
      </c>
      <c r="E137" s="1330">
        <f t="shared" si="31"/>
        <v>0</v>
      </c>
      <c r="F137" s="1330">
        <f t="shared" si="23"/>
        <v>0</v>
      </c>
      <c r="G137" s="1330">
        <f t="shared" si="24"/>
        <v>0</v>
      </c>
      <c r="H137" s="1330">
        <f t="shared" si="25"/>
        <v>0</v>
      </c>
      <c r="I137" s="1327">
        <v>0</v>
      </c>
      <c r="J137" s="1327">
        <v>0</v>
      </c>
      <c r="K137" s="1330"/>
      <c r="L137" s="1330"/>
      <c r="M137" s="1330">
        <f t="shared" si="30"/>
        <v>0</v>
      </c>
      <c r="N137" s="1330">
        <f t="shared" si="27"/>
        <v>0</v>
      </c>
      <c r="O137" s="1159">
        <f t="shared" si="28"/>
        <v>0</v>
      </c>
      <c r="P137" s="1014">
        <f t="shared" si="29"/>
        <v>0</v>
      </c>
    </row>
    <row r="138" spans="1:17" ht="31" outlineLevel="1" x14ac:dyDescent="0.25">
      <c r="A138" s="1015">
        <f t="shared" si="31"/>
        <v>17.100000000000001</v>
      </c>
      <c r="B138" s="1016" t="str">
        <f t="shared" si="31"/>
        <v xml:space="preserve">Fortification near Panshet hydro power station for arresting rock falling on HPS Building at panshet . </v>
      </c>
      <c r="C138" s="1015" t="str">
        <f t="shared" si="31"/>
        <v xml:space="preserve">Not approved </v>
      </c>
      <c r="D138" s="1010" t="str">
        <f t="shared" si="31"/>
        <v>-</v>
      </c>
      <c r="E138" s="1330">
        <f t="shared" si="31"/>
        <v>0</v>
      </c>
      <c r="F138" s="1330">
        <f t="shared" si="23"/>
        <v>12.06</v>
      </c>
      <c r="G138" s="1330">
        <f t="shared" si="24"/>
        <v>0</v>
      </c>
      <c r="H138" s="1330">
        <f t="shared" si="25"/>
        <v>12.06</v>
      </c>
      <c r="I138" s="1327">
        <v>0</v>
      </c>
      <c r="J138" s="1327">
        <v>0</v>
      </c>
      <c r="K138" s="1330"/>
      <c r="L138" s="1330"/>
      <c r="M138" s="1330">
        <f t="shared" ref="M138:M163" si="32">SUM(J138:L138)</f>
        <v>0</v>
      </c>
      <c r="N138" s="1330">
        <f t="shared" si="27"/>
        <v>12.06</v>
      </c>
      <c r="O138" s="1159">
        <f t="shared" si="28"/>
        <v>0</v>
      </c>
      <c r="P138" s="1014">
        <f t="shared" si="29"/>
        <v>0</v>
      </c>
    </row>
    <row r="139" spans="1:17" ht="15.5" outlineLevel="1" x14ac:dyDescent="0.25">
      <c r="A139" s="1011">
        <f t="shared" si="31"/>
        <v>0</v>
      </c>
      <c r="B139" s="1150" t="str">
        <f t="shared" si="31"/>
        <v>(ii) Yet to be submitted to MERC</v>
      </c>
      <c r="C139" s="1011">
        <f t="shared" si="31"/>
        <v>0</v>
      </c>
      <c r="D139" s="1010" t="str">
        <f t="shared" si="31"/>
        <v>-</v>
      </c>
      <c r="E139" s="1330">
        <f t="shared" si="31"/>
        <v>0</v>
      </c>
      <c r="F139" s="1259">
        <f t="shared" si="23"/>
        <v>0</v>
      </c>
      <c r="G139" s="1259">
        <f t="shared" si="24"/>
        <v>0</v>
      </c>
      <c r="H139" s="1259">
        <f t="shared" si="25"/>
        <v>0</v>
      </c>
      <c r="I139" s="1327">
        <v>0</v>
      </c>
      <c r="J139" s="1327">
        <v>0</v>
      </c>
      <c r="K139" s="1259"/>
      <c r="L139" s="1259"/>
      <c r="M139" s="1259">
        <f t="shared" si="32"/>
        <v>0</v>
      </c>
      <c r="N139" s="1259">
        <f t="shared" si="27"/>
        <v>0</v>
      </c>
      <c r="O139" s="1013"/>
      <c r="P139" s="1013"/>
    </row>
    <row r="140" spans="1:17" ht="15.5" outlineLevel="1" x14ac:dyDescent="0.25">
      <c r="A140" s="1153">
        <f t="shared" si="31"/>
        <v>1</v>
      </c>
      <c r="B140" s="1154" t="str">
        <f t="shared" si="31"/>
        <v>DPR-5</v>
      </c>
      <c r="C140" s="1153" t="str">
        <f t="shared" si="31"/>
        <v>(ii) Yet to be submitted to MERC</v>
      </c>
      <c r="D140" s="1325" t="str">
        <f t="shared" si="31"/>
        <v>-</v>
      </c>
      <c r="E140" s="1326">
        <f t="shared" si="31"/>
        <v>0</v>
      </c>
      <c r="F140" s="1335">
        <f t="shared" si="23"/>
        <v>0</v>
      </c>
      <c r="G140" s="1335">
        <f t="shared" si="24"/>
        <v>0</v>
      </c>
      <c r="H140" s="1335">
        <f t="shared" si="25"/>
        <v>0</v>
      </c>
      <c r="I140" s="1327">
        <v>0</v>
      </c>
      <c r="J140" s="1327">
        <v>0</v>
      </c>
      <c r="K140" s="1335"/>
      <c r="L140" s="1335"/>
      <c r="M140" s="1335">
        <f t="shared" si="32"/>
        <v>0</v>
      </c>
      <c r="N140" s="1335">
        <f t="shared" si="27"/>
        <v>0</v>
      </c>
      <c r="O140" s="1013"/>
      <c r="P140" s="1013"/>
    </row>
    <row r="141" spans="1:17" ht="31" outlineLevel="1" x14ac:dyDescent="0.25">
      <c r="A141" s="1160">
        <f t="shared" si="31"/>
        <v>1.1000000000000001</v>
      </c>
      <c r="B141" s="1328" t="str">
        <f t="shared" si="31"/>
        <v>Supply, erection &amp; commissioning of Digital Governor and DAVR for Panshet HPS under REC, Pune</v>
      </c>
      <c r="C141" s="1160" t="str">
        <f t="shared" si="31"/>
        <v>(ii) Yet to be submitted to MERC</v>
      </c>
      <c r="D141" s="1010" t="str">
        <f t="shared" si="31"/>
        <v>-</v>
      </c>
      <c r="E141" s="1329">
        <f t="shared" si="31"/>
        <v>0</v>
      </c>
      <c r="F141" s="1334">
        <f t="shared" si="23"/>
        <v>0</v>
      </c>
      <c r="G141" s="1334">
        <f t="shared" si="24"/>
        <v>0</v>
      </c>
      <c r="H141" s="1334">
        <f t="shared" si="25"/>
        <v>0</v>
      </c>
      <c r="I141" s="1327">
        <v>0</v>
      </c>
      <c r="J141" s="1327">
        <v>0</v>
      </c>
      <c r="K141" s="1334"/>
      <c r="L141" s="1334"/>
      <c r="M141" s="1334">
        <f t="shared" si="32"/>
        <v>0</v>
      </c>
      <c r="N141" s="1334">
        <f t="shared" si="27"/>
        <v>0</v>
      </c>
      <c r="O141" s="1013"/>
      <c r="P141" s="1013"/>
    </row>
    <row r="142" spans="1:17" ht="31" outlineLevel="1" x14ac:dyDescent="0.25">
      <c r="A142" s="1160">
        <f t="shared" si="31"/>
        <v>1.2</v>
      </c>
      <c r="B142" s="1328" t="str">
        <f t="shared" si="31"/>
        <v xml:space="preserve">Supply, erection &amp; commissioning of Digital Governor, Excitation system (DAVR) at Warana &amp; Dudhganga HPS </v>
      </c>
      <c r="C142" s="1160" t="str">
        <f t="shared" si="31"/>
        <v>(ii) Yet to be submitted to MERC</v>
      </c>
      <c r="D142" s="1010" t="str">
        <f t="shared" si="31"/>
        <v>-</v>
      </c>
      <c r="E142" s="1329">
        <f t="shared" si="31"/>
        <v>0</v>
      </c>
      <c r="F142" s="1334">
        <f t="shared" si="23"/>
        <v>0</v>
      </c>
      <c r="G142" s="1334">
        <f t="shared" si="24"/>
        <v>0</v>
      </c>
      <c r="H142" s="1334">
        <f t="shared" si="25"/>
        <v>0</v>
      </c>
      <c r="I142" s="1327">
        <v>0</v>
      </c>
      <c r="J142" s="1327">
        <v>0</v>
      </c>
      <c r="K142" s="1334"/>
      <c r="L142" s="1334"/>
      <c r="M142" s="1334">
        <f t="shared" si="32"/>
        <v>0</v>
      </c>
      <c r="N142" s="1334">
        <f t="shared" si="27"/>
        <v>0</v>
      </c>
      <c r="O142" s="1013"/>
      <c r="P142" s="1013"/>
    </row>
    <row r="143" spans="1:17" ht="46.5" outlineLevel="1" x14ac:dyDescent="0.25">
      <c r="A143" s="1160">
        <f t="shared" si="31"/>
        <v>1.3</v>
      </c>
      <c r="B143" s="1328" t="str">
        <f t="shared" si="31"/>
        <v>Supply,erection &amp; commissioningof Governor, Excitation System (DAVR) and Autosequencer for Manikdoh, Kanher &amp; Dimbhe HPS.</v>
      </c>
      <c r="C143" s="1160" t="str">
        <f t="shared" si="31"/>
        <v>(ii) Yet to be submitted to MERC</v>
      </c>
      <c r="D143" s="1010" t="str">
        <f t="shared" si="31"/>
        <v>-</v>
      </c>
      <c r="E143" s="1329">
        <f t="shared" si="31"/>
        <v>0</v>
      </c>
      <c r="F143" s="1334">
        <f t="shared" si="23"/>
        <v>0</v>
      </c>
      <c r="G143" s="1334">
        <f t="shared" si="24"/>
        <v>0</v>
      </c>
      <c r="H143" s="1334">
        <f t="shared" si="25"/>
        <v>0</v>
      </c>
      <c r="I143" s="1327">
        <v>0</v>
      </c>
      <c r="J143" s="1327">
        <v>0</v>
      </c>
      <c r="K143" s="1334"/>
      <c r="L143" s="1334"/>
      <c r="M143" s="1334">
        <f t="shared" si="32"/>
        <v>0</v>
      </c>
      <c r="N143" s="1334">
        <f t="shared" si="27"/>
        <v>0</v>
      </c>
      <c r="O143" s="1013"/>
      <c r="P143" s="1013"/>
    </row>
    <row r="144" spans="1:17" ht="31" outlineLevel="1" x14ac:dyDescent="0.25">
      <c r="A144" s="1160">
        <f t="shared" si="31"/>
        <v>1.4</v>
      </c>
      <c r="B144" s="1328" t="str">
        <f t="shared" si="31"/>
        <v>Supply, erection &amp; commissioning of Digital Governor Pawana &amp; Varasgaon HPS</v>
      </c>
      <c r="C144" s="1160" t="str">
        <f t="shared" si="31"/>
        <v>(ii) Yet to be submitted to MERC</v>
      </c>
      <c r="D144" s="1010" t="str">
        <f t="shared" si="31"/>
        <v>-</v>
      </c>
      <c r="E144" s="1329">
        <f t="shared" si="31"/>
        <v>0</v>
      </c>
      <c r="F144" s="1334">
        <f t="shared" si="23"/>
        <v>0</v>
      </c>
      <c r="G144" s="1334">
        <f t="shared" si="24"/>
        <v>0</v>
      </c>
      <c r="H144" s="1334">
        <f t="shared" si="25"/>
        <v>0</v>
      </c>
      <c r="I144" s="1327">
        <v>0</v>
      </c>
      <c r="J144" s="1327">
        <v>0</v>
      </c>
      <c r="K144" s="1334"/>
      <c r="L144" s="1334"/>
      <c r="M144" s="1334">
        <f t="shared" si="32"/>
        <v>0</v>
      </c>
      <c r="N144" s="1334">
        <f t="shared" si="27"/>
        <v>0</v>
      </c>
      <c r="O144" s="1013"/>
      <c r="P144" s="1013"/>
    </row>
    <row r="145" spans="1:16" ht="46.5" outlineLevel="1" x14ac:dyDescent="0.25">
      <c r="A145" s="1160">
        <f t="shared" si="31"/>
        <v>1.5</v>
      </c>
      <c r="B145" s="1328" t="str">
        <f t="shared" si="31"/>
        <v>Upgradation of Protection system for Generator and Generator transformer at bhatghar,Dudhganga,Ujani,Warana,Kanher &amp; Dhom</v>
      </c>
      <c r="C145" s="1160" t="str">
        <f t="shared" si="31"/>
        <v>(ii) Yet to be submitted to MERC</v>
      </c>
      <c r="D145" s="1010" t="str">
        <f t="shared" si="31"/>
        <v>-</v>
      </c>
      <c r="E145" s="1329">
        <f t="shared" si="31"/>
        <v>0</v>
      </c>
      <c r="F145" s="1334">
        <f t="shared" si="23"/>
        <v>0</v>
      </c>
      <c r="G145" s="1334">
        <f t="shared" si="24"/>
        <v>0</v>
      </c>
      <c r="H145" s="1334">
        <f t="shared" si="25"/>
        <v>0</v>
      </c>
      <c r="I145" s="1327">
        <v>0</v>
      </c>
      <c r="J145" s="1327">
        <v>0</v>
      </c>
      <c r="K145" s="1334"/>
      <c r="L145" s="1334"/>
      <c r="M145" s="1334">
        <f t="shared" si="32"/>
        <v>0</v>
      </c>
      <c r="N145" s="1334">
        <f t="shared" si="27"/>
        <v>0</v>
      </c>
      <c r="O145" s="1013"/>
      <c r="P145" s="1013"/>
    </row>
    <row r="146" spans="1:16" ht="15.5" outlineLevel="1" x14ac:dyDescent="0.25">
      <c r="A146" s="1160">
        <f t="shared" si="31"/>
        <v>0</v>
      </c>
      <c r="B146" s="1328" t="str">
        <f t="shared" si="31"/>
        <v>DPR-6</v>
      </c>
      <c r="C146" s="1160">
        <f t="shared" si="31"/>
        <v>0</v>
      </c>
      <c r="D146" s="1010" t="str">
        <f t="shared" si="31"/>
        <v>-</v>
      </c>
      <c r="E146" s="1329">
        <f t="shared" si="31"/>
        <v>0</v>
      </c>
      <c r="F146" s="1334">
        <f t="shared" si="23"/>
        <v>0</v>
      </c>
      <c r="G146" s="1334">
        <f t="shared" si="24"/>
        <v>0</v>
      </c>
      <c r="H146" s="1334">
        <f t="shared" si="25"/>
        <v>0</v>
      </c>
      <c r="I146" s="1327">
        <v>0</v>
      </c>
      <c r="J146" s="1327">
        <v>0</v>
      </c>
      <c r="K146" s="1334"/>
      <c r="L146" s="1334"/>
      <c r="M146" s="1334">
        <f t="shared" si="32"/>
        <v>0</v>
      </c>
      <c r="N146" s="1334">
        <f t="shared" si="27"/>
        <v>0</v>
      </c>
      <c r="O146" s="1013"/>
      <c r="P146" s="1013"/>
    </row>
    <row r="147" spans="1:16" ht="15.5" outlineLevel="1" x14ac:dyDescent="0.25">
      <c r="A147" s="1153">
        <f t="shared" si="31"/>
        <v>0</v>
      </c>
      <c r="B147" s="1154" t="str">
        <f t="shared" si="31"/>
        <v>Synchronising &amp; Line Breakers at HPS under REC, Pune</v>
      </c>
      <c r="C147" s="1160" t="str">
        <f t="shared" si="31"/>
        <v>(ii) Yet to be submitted to MERC</v>
      </c>
      <c r="D147" s="1325" t="str">
        <f t="shared" si="31"/>
        <v>-</v>
      </c>
      <c r="E147" s="1326">
        <f t="shared" si="31"/>
        <v>0</v>
      </c>
      <c r="F147" s="1335">
        <f t="shared" si="23"/>
        <v>0</v>
      </c>
      <c r="G147" s="1335">
        <f t="shared" si="24"/>
        <v>0</v>
      </c>
      <c r="H147" s="1335">
        <f t="shared" si="25"/>
        <v>0</v>
      </c>
      <c r="I147" s="1327">
        <v>0</v>
      </c>
      <c r="J147" s="1327">
        <v>0</v>
      </c>
      <c r="K147" s="1335"/>
      <c r="L147" s="1335"/>
      <c r="M147" s="1335">
        <f t="shared" si="32"/>
        <v>0</v>
      </c>
      <c r="N147" s="1335">
        <f t="shared" si="27"/>
        <v>0</v>
      </c>
      <c r="O147" s="1013"/>
      <c r="P147" s="1013"/>
    </row>
    <row r="148" spans="1:16" ht="31" outlineLevel="1" x14ac:dyDescent="0.25">
      <c r="A148" s="1160">
        <f t="shared" ref="A148:E163" si="33">A95</f>
        <v>0</v>
      </c>
      <c r="B148" s="1328" t="str">
        <f t="shared" si="33"/>
        <v>Digital Governor, Excitation (DAVR) with Auto sequencer at Ujjani HPS</v>
      </c>
      <c r="C148" s="1160" t="str">
        <f t="shared" si="33"/>
        <v>(ii) Yet to be submitted to MERC</v>
      </c>
      <c r="D148" s="1010" t="str">
        <f t="shared" si="33"/>
        <v>-</v>
      </c>
      <c r="E148" s="1329">
        <f t="shared" si="33"/>
        <v>0</v>
      </c>
      <c r="F148" s="1334">
        <f t="shared" si="23"/>
        <v>0</v>
      </c>
      <c r="G148" s="1334">
        <f t="shared" si="24"/>
        <v>0</v>
      </c>
      <c r="H148" s="1334">
        <f t="shared" si="25"/>
        <v>0</v>
      </c>
      <c r="I148" s="1327">
        <v>0</v>
      </c>
      <c r="J148" s="1327">
        <v>0</v>
      </c>
      <c r="K148" s="1334"/>
      <c r="L148" s="1334"/>
      <c r="M148" s="1334">
        <f t="shared" si="32"/>
        <v>0</v>
      </c>
      <c r="N148" s="1334">
        <f t="shared" si="27"/>
        <v>0</v>
      </c>
      <c r="O148" s="1013"/>
      <c r="P148" s="1013"/>
    </row>
    <row r="149" spans="1:16" ht="31" outlineLevel="1" x14ac:dyDescent="0.25">
      <c r="A149" s="1160">
        <f t="shared" si="33"/>
        <v>0</v>
      </c>
      <c r="B149" s="1328" t="str">
        <f t="shared" si="33"/>
        <v>Supply of station battery sets at Panshet, Varasgaon, Pawana, Dhom, Terwanmedhe</v>
      </c>
      <c r="C149" s="1160" t="str">
        <f t="shared" si="33"/>
        <v>(ii) Yet to be submitted to MERC</v>
      </c>
      <c r="D149" s="1010" t="str">
        <f t="shared" si="33"/>
        <v>-</v>
      </c>
      <c r="E149" s="1329">
        <f t="shared" si="33"/>
        <v>0</v>
      </c>
      <c r="F149" s="1334">
        <f t="shared" si="23"/>
        <v>0</v>
      </c>
      <c r="G149" s="1334">
        <f t="shared" si="24"/>
        <v>0</v>
      </c>
      <c r="H149" s="1334">
        <f t="shared" si="25"/>
        <v>0</v>
      </c>
      <c r="I149" s="1327">
        <v>0</v>
      </c>
      <c r="J149" s="1327">
        <v>0</v>
      </c>
      <c r="K149" s="1334"/>
      <c r="L149" s="1334"/>
      <c r="M149" s="1334">
        <f t="shared" si="32"/>
        <v>0</v>
      </c>
      <c r="N149" s="1334">
        <f t="shared" si="27"/>
        <v>0</v>
      </c>
    </row>
    <row r="150" spans="1:16" ht="31" outlineLevel="1" x14ac:dyDescent="0.25">
      <c r="A150" s="1160">
        <f t="shared" si="33"/>
        <v>0</v>
      </c>
      <c r="B150" s="1328" t="str">
        <f t="shared" si="33"/>
        <v>Digital Governor, Excitation (DAVR) with Auto sequencer at Dhom HPS</v>
      </c>
      <c r="C150" s="1160" t="str">
        <f t="shared" si="33"/>
        <v>(ii) Yet to be submitted to MERC</v>
      </c>
      <c r="D150" s="1010" t="str">
        <f t="shared" si="33"/>
        <v>-</v>
      </c>
      <c r="E150" s="1329">
        <f t="shared" si="33"/>
        <v>0</v>
      </c>
      <c r="F150" s="1334">
        <f t="shared" si="23"/>
        <v>0</v>
      </c>
      <c r="G150" s="1334">
        <f t="shared" si="24"/>
        <v>0</v>
      </c>
      <c r="H150" s="1334">
        <f t="shared" si="25"/>
        <v>0</v>
      </c>
      <c r="I150" s="1327">
        <v>0</v>
      </c>
      <c r="J150" s="1327">
        <v>0</v>
      </c>
      <c r="K150" s="1334"/>
      <c r="L150" s="1334"/>
      <c r="M150" s="1334">
        <f t="shared" si="32"/>
        <v>0</v>
      </c>
      <c r="N150" s="1334">
        <f t="shared" si="27"/>
        <v>0</v>
      </c>
    </row>
    <row r="151" spans="1:16" ht="15.5" outlineLevel="1" x14ac:dyDescent="0.25">
      <c r="A151" s="1160">
        <f t="shared" si="33"/>
        <v>0</v>
      </c>
      <c r="B151" s="1328" t="str">
        <f t="shared" si="33"/>
        <v>R &amp; M of Bhatghar HPS</v>
      </c>
      <c r="C151" s="1160" t="str">
        <f t="shared" si="33"/>
        <v>(ii) Yet to be submitted to MERC</v>
      </c>
      <c r="D151" s="1010" t="str">
        <f t="shared" si="33"/>
        <v>-</v>
      </c>
      <c r="E151" s="1329">
        <f t="shared" si="33"/>
        <v>0</v>
      </c>
      <c r="F151" s="1334">
        <f t="shared" si="23"/>
        <v>0</v>
      </c>
      <c r="G151" s="1334">
        <f t="shared" si="24"/>
        <v>0</v>
      </c>
      <c r="H151" s="1334">
        <f t="shared" si="25"/>
        <v>0</v>
      </c>
      <c r="I151" s="1327">
        <v>0</v>
      </c>
      <c r="J151" s="1327">
        <v>0</v>
      </c>
      <c r="K151" s="1334"/>
      <c r="L151" s="1334"/>
      <c r="M151" s="1334">
        <f t="shared" si="32"/>
        <v>0</v>
      </c>
      <c r="N151" s="1334">
        <f t="shared" si="27"/>
        <v>0</v>
      </c>
    </row>
    <row r="152" spans="1:16" ht="15.5" outlineLevel="1" x14ac:dyDescent="0.25">
      <c r="A152" s="1160">
        <f t="shared" si="33"/>
        <v>1.7</v>
      </c>
      <c r="B152" s="1328" t="str">
        <f t="shared" si="33"/>
        <v>DPR-8</v>
      </c>
      <c r="C152" s="1160">
        <f t="shared" si="33"/>
        <v>0</v>
      </c>
      <c r="D152" s="1010" t="str">
        <f t="shared" si="33"/>
        <v>-</v>
      </c>
      <c r="E152" s="1329">
        <f t="shared" si="33"/>
        <v>0</v>
      </c>
      <c r="F152" s="1334">
        <f t="shared" si="23"/>
        <v>0</v>
      </c>
      <c r="G152" s="1334">
        <f t="shared" si="24"/>
        <v>0</v>
      </c>
      <c r="H152" s="1334">
        <f t="shared" si="25"/>
        <v>0</v>
      </c>
      <c r="I152" s="1327">
        <v>0</v>
      </c>
      <c r="J152" s="1327">
        <v>0</v>
      </c>
      <c r="K152" s="1334"/>
      <c r="L152" s="1334"/>
      <c r="M152" s="1334">
        <f t="shared" si="32"/>
        <v>0</v>
      </c>
      <c r="N152" s="1334">
        <f t="shared" si="27"/>
        <v>0</v>
      </c>
    </row>
    <row r="153" spans="1:16" ht="31" outlineLevel="1" x14ac:dyDescent="0.25">
      <c r="A153" s="1160">
        <f t="shared" si="33"/>
        <v>0</v>
      </c>
      <c r="B153" s="1328" t="str">
        <f t="shared" si="33"/>
        <v>Gen. transformers for Dudhganga, Warana, Ujjani, Panshet, Varasgaon &amp; Pawana HPS</v>
      </c>
      <c r="C153" s="1160" t="str">
        <f t="shared" si="33"/>
        <v>(ii) Yet to be submitted to MERC</v>
      </c>
      <c r="D153" s="1010" t="str">
        <f t="shared" si="33"/>
        <v>-</v>
      </c>
      <c r="E153" s="1329">
        <f t="shared" si="33"/>
        <v>0</v>
      </c>
      <c r="F153" s="1334">
        <f t="shared" si="23"/>
        <v>0</v>
      </c>
      <c r="G153" s="1334">
        <f t="shared" si="24"/>
        <v>0</v>
      </c>
      <c r="H153" s="1334">
        <f t="shared" si="25"/>
        <v>0</v>
      </c>
      <c r="I153" s="1327">
        <v>0</v>
      </c>
      <c r="J153" s="1327">
        <v>0</v>
      </c>
      <c r="K153" s="1334"/>
      <c r="L153" s="1334"/>
      <c r="M153" s="1334">
        <f t="shared" si="32"/>
        <v>0</v>
      </c>
      <c r="N153" s="1334">
        <f t="shared" si="27"/>
        <v>0</v>
      </c>
    </row>
    <row r="154" spans="1:16" ht="15.5" outlineLevel="1" x14ac:dyDescent="0.25">
      <c r="A154" s="1160">
        <f t="shared" si="33"/>
        <v>0</v>
      </c>
      <c r="B154" s="1328">
        <f t="shared" si="33"/>
        <v>0</v>
      </c>
      <c r="C154" s="1160">
        <f t="shared" si="33"/>
        <v>0</v>
      </c>
      <c r="D154" s="1010" t="str">
        <f t="shared" si="33"/>
        <v>-</v>
      </c>
      <c r="E154" s="1329">
        <f t="shared" si="33"/>
        <v>0</v>
      </c>
      <c r="F154" s="1334">
        <f t="shared" si="23"/>
        <v>0</v>
      </c>
      <c r="G154" s="1334">
        <f t="shared" si="24"/>
        <v>0</v>
      </c>
      <c r="H154" s="1334">
        <f t="shared" si="25"/>
        <v>0</v>
      </c>
      <c r="I154" s="1327">
        <v>0</v>
      </c>
      <c r="J154" s="1327">
        <v>0</v>
      </c>
      <c r="K154" s="1334"/>
      <c r="L154" s="1334"/>
      <c r="M154" s="1334">
        <f t="shared" si="32"/>
        <v>0</v>
      </c>
      <c r="N154" s="1334">
        <f t="shared" si="27"/>
        <v>0</v>
      </c>
    </row>
    <row r="155" spans="1:16" ht="15.5" outlineLevel="1" x14ac:dyDescent="0.25">
      <c r="A155" s="1011">
        <f t="shared" si="33"/>
        <v>0</v>
      </c>
      <c r="B155" s="1012" t="str">
        <f t="shared" si="33"/>
        <v>B) Non-DPR Schemes</v>
      </c>
      <c r="C155" s="1011">
        <f t="shared" si="33"/>
        <v>0</v>
      </c>
      <c r="D155" s="1010" t="str">
        <f t="shared" si="33"/>
        <v>-</v>
      </c>
      <c r="E155" s="1330">
        <f t="shared" si="33"/>
        <v>0</v>
      </c>
      <c r="F155" s="1259">
        <f t="shared" si="23"/>
        <v>0</v>
      </c>
      <c r="G155" s="1259">
        <f t="shared" si="24"/>
        <v>0</v>
      </c>
      <c r="H155" s="1259">
        <f t="shared" si="25"/>
        <v>0</v>
      </c>
      <c r="I155" s="1327">
        <v>0</v>
      </c>
      <c r="J155" s="1327">
        <v>0</v>
      </c>
      <c r="K155" s="1259"/>
      <c r="L155" s="1259"/>
      <c r="M155" s="1259">
        <f t="shared" si="32"/>
        <v>0</v>
      </c>
      <c r="N155" s="1259">
        <f t="shared" si="27"/>
        <v>0</v>
      </c>
    </row>
    <row r="156" spans="1:16" ht="31" outlineLevel="1" x14ac:dyDescent="0.25">
      <c r="A156" s="1160">
        <f t="shared" si="33"/>
        <v>1</v>
      </c>
      <c r="B156" s="1328" t="str">
        <f t="shared" si="33"/>
        <v>Replacement of 220V/300 AH Tubular type Battery Set at Manikdoh HPS</v>
      </c>
      <c r="C156" s="1160" t="str">
        <f t="shared" si="33"/>
        <v>N.A.</v>
      </c>
      <c r="D156" s="1010" t="str">
        <f t="shared" si="33"/>
        <v>-</v>
      </c>
      <c r="E156" s="1329">
        <f t="shared" si="33"/>
        <v>0</v>
      </c>
      <c r="F156" s="1334">
        <f t="shared" si="23"/>
        <v>0.1138</v>
      </c>
      <c r="G156" s="1334">
        <f t="shared" si="24"/>
        <v>0.1138</v>
      </c>
      <c r="H156" s="1334">
        <f t="shared" si="25"/>
        <v>0</v>
      </c>
      <c r="I156" s="1327">
        <v>0</v>
      </c>
      <c r="J156" s="1327">
        <v>0</v>
      </c>
      <c r="K156" s="1334"/>
      <c r="L156" s="1334"/>
      <c r="M156" s="1334">
        <f t="shared" si="32"/>
        <v>0</v>
      </c>
      <c r="N156" s="1334">
        <f t="shared" si="27"/>
        <v>0</v>
      </c>
    </row>
    <row r="157" spans="1:16" ht="31" outlineLevel="1" x14ac:dyDescent="0.25">
      <c r="A157" s="1160">
        <f t="shared" si="33"/>
        <v>2</v>
      </c>
      <c r="B157" s="1328" t="str">
        <f t="shared" si="33"/>
        <v>Replacement of existing AVR by DAVR for Static Excitation System at Pawana HPS.</v>
      </c>
      <c r="C157" s="1160" t="str">
        <f t="shared" si="33"/>
        <v>N.A.</v>
      </c>
      <c r="D157" s="1010" t="str">
        <f t="shared" si="33"/>
        <v>-</v>
      </c>
      <c r="E157" s="1329">
        <f t="shared" si="33"/>
        <v>0</v>
      </c>
      <c r="F157" s="1334">
        <f t="shared" si="23"/>
        <v>0</v>
      </c>
      <c r="G157" s="1334">
        <f t="shared" si="24"/>
        <v>0</v>
      </c>
      <c r="H157" s="1334">
        <f t="shared" si="25"/>
        <v>0</v>
      </c>
      <c r="I157" s="1327">
        <v>1.01</v>
      </c>
      <c r="J157" s="1327">
        <v>1.01</v>
      </c>
      <c r="K157" s="1334"/>
      <c r="L157" s="1334"/>
      <c r="M157" s="1334">
        <f t="shared" si="32"/>
        <v>1.01</v>
      </c>
      <c r="N157" s="1334">
        <f t="shared" si="27"/>
        <v>0</v>
      </c>
    </row>
    <row r="158" spans="1:16" ht="15.5" outlineLevel="1" x14ac:dyDescent="0.25">
      <c r="A158" s="1160">
        <f t="shared" si="33"/>
        <v>3</v>
      </c>
      <c r="B158" s="1328" t="str">
        <f t="shared" si="33"/>
        <v>Retrofitting of 415 V LT Breakers at Kanher &amp; Dhom HPS.</v>
      </c>
      <c r="C158" s="1160" t="str">
        <f t="shared" si="33"/>
        <v>N.A.</v>
      </c>
      <c r="D158" s="1010" t="str">
        <f t="shared" si="33"/>
        <v>-</v>
      </c>
      <c r="E158" s="1329">
        <f t="shared" si="33"/>
        <v>0</v>
      </c>
      <c r="F158" s="1334">
        <f t="shared" si="23"/>
        <v>9.8743800000000007E-2</v>
      </c>
      <c r="G158" s="1334">
        <f t="shared" si="24"/>
        <v>9.8743800000000007E-2</v>
      </c>
      <c r="H158" s="1334">
        <f t="shared" si="25"/>
        <v>0</v>
      </c>
      <c r="I158" s="1327">
        <v>0</v>
      </c>
      <c r="J158" s="1327">
        <v>0</v>
      </c>
      <c r="K158" s="1334"/>
      <c r="L158" s="1334"/>
      <c r="M158" s="1334">
        <f t="shared" si="32"/>
        <v>0</v>
      </c>
      <c r="N158" s="1334">
        <f t="shared" si="27"/>
        <v>0</v>
      </c>
    </row>
    <row r="159" spans="1:16" ht="15.5" outlineLevel="1" x14ac:dyDescent="0.25">
      <c r="A159" s="1160">
        <f t="shared" si="33"/>
        <v>4</v>
      </c>
      <c r="B159" s="1328" t="str">
        <f t="shared" si="33"/>
        <v>Furniture &amp; Fixture General Asset</v>
      </c>
      <c r="C159" s="1160" t="str">
        <f t="shared" si="33"/>
        <v>N.A.</v>
      </c>
      <c r="D159" s="1010" t="str">
        <f t="shared" si="33"/>
        <v>-</v>
      </c>
      <c r="E159" s="1329">
        <f t="shared" si="33"/>
        <v>0</v>
      </c>
      <c r="F159" s="1334">
        <f t="shared" si="23"/>
        <v>1.057653621</v>
      </c>
      <c r="G159" s="1334">
        <f t="shared" si="24"/>
        <v>1.057653621</v>
      </c>
      <c r="H159" s="1334">
        <f t="shared" si="25"/>
        <v>0</v>
      </c>
      <c r="I159" s="1327">
        <v>0.01</v>
      </c>
      <c r="J159" s="1327">
        <v>0.01</v>
      </c>
      <c r="K159" s="1334"/>
      <c r="L159" s="1334"/>
      <c r="M159" s="1334">
        <f t="shared" si="32"/>
        <v>0.01</v>
      </c>
      <c r="N159" s="1334">
        <f t="shared" si="27"/>
        <v>0</v>
      </c>
    </row>
    <row r="160" spans="1:16" ht="15.5" outlineLevel="1" x14ac:dyDescent="0.25">
      <c r="A160" s="1160">
        <f t="shared" si="33"/>
        <v>5</v>
      </c>
      <c r="B160" s="1328" t="str">
        <f t="shared" si="33"/>
        <v>Electrical General Asset</v>
      </c>
      <c r="C160" s="1160" t="str">
        <f t="shared" si="33"/>
        <v>N.A.</v>
      </c>
      <c r="D160" s="1010" t="str">
        <f t="shared" si="33"/>
        <v>-</v>
      </c>
      <c r="E160" s="1329">
        <f t="shared" si="33"/>
        <v>0</v>
      </c>
      <c r="F160" s="1334">
        <f t="shared" si="23"/>
        <v>0.19467927899999998</v>
      </c>
      <c r="G160" s="1334">
        <f t="shared" si="24"/>
        <v>0.19467927899999998</v>
      </c>
      <c r="H160" s="1334">
        <f t="shared" si="25"/>
        <v>0</v>
      </c>
      <c r="I160" s="1327">
        <v>0</v>
      </c>
      <c r="J160" s="1327">
        <v>0</v>
      </c>
      <c r="K160" s="1334"/>
      <c r="L160" s="1334"/>
      <c r="M160" s="1334">
        <f t="shared" si="32"/>
        <v>0</v>
      </c>
      <c r="N160" s="1334">
        <f t="shared" si="27"/>
        <v>0</v>
      </c>
    </row>
    <row r="161" spans="1:17" ht="15.5" outlineLevel="1" x14ac:dyDescent="0.25">
      <c r="A161" s="1160">
        <f t="shared" si="33"/>
        <v>6</v>
      </c>
      <c r="B161" s="1328" t="str">
        <f t="shared" si="33"/>
        <v>Electronics General Asset</v>
      </c>
      <c r="C161" s="1160" t="str">
        <f t="shared" si="33"/>
        <v>N.A.</v>
      </c>
      <c r="D161" s="1010" t="str">
        <f t="shared" si="33"/>
        <v>-</v>
      </c>
      <c r="E161" s="1329">
        <f t="shared" si="33"/>
        <v>0</v>
      </c>
      <c r="F161" s="1334">
        <f t="shared" si="23"/>
        <v>0.25661271499999999</v>
      </c>
      <c r="G161" s="1334">
        <f t="shared" si="24"/>
        <v>0.25661271499999999</v>
      </c>
      <c r="H161" s="1334">
        <f t="shared" si="25"/>
        <v>0</v>
      </c>
      <c r="I161" s="1327">
        <v>0.02</v>
      </c>
      <c r="J161" s="1327">
        <v>0.02</v>
      </c>
      <c r="K161" s="1334"/>
      <c r="L161" s="1334"/>
      <c r="M161" s="1334">
        <f t="shared" si="32"/>
        <v>0.02</v>
      </c>
      <c r="N161" s="1334">
        <f t="shared" si="27"/>
        <v>0</v>
      </c>
    </row>
    <row r="162" spans="1:17" ht="15.5" outlineLevel="1" x14ac:dyDescent="0.25">
      <c r="A162" s="1160">
        <f t="shared" si="33"/>
        <v>7</v>
      </c>
      <c r="B162" s="1328" t="str">
        <f t="shared" si="33"/>
        <v>Vehicle General Asset</v>
      </c>
      <c r="C162" s="1160" t="str">
        <f t="shared" si="33"/>
        <v>N.A.</v>
      </c>
      <c r="D162" s="1010" t="str">
        <f t="shared" si="33"/>
        <v>-</v>
      </c>
      <c r="E162" s="1329">
        <f t="shared" si="33"/>
        <v>0</v>
      </c>
      <c r="F162" s="1334">
        <f t="shared" si="23"/>
        <v>0.17288522700000003</v>
      </c>
      <c r="G162" s="1334">
        <f t="shared" si="24"/>
        <v>0.17288522700000003</v>
      </c>
      <c r="H162" s="1334">
        <f t="shared" si="25"/>
        <v>0</v>
      </c>
      <c r="I162" s="1327">
        <v>0</v>
      </c>
      <c r="J162" s="1327">
        <v>0</v>
      </c>
      <c r="K162" s="1334"/>
      <c r="L162" s="1334"/>
      <c r="M162" s="1334">
        <f t="shared" si="32"/>
        <v>0</v>
      </c>
      <c r="N162" s="1334">
        <f t="shared" si="27"/>
        <v>0</v>
      </c>
    </row>
    <row r="163" spans="1:17" ht="31.5" outlineLevel="1" thickBot="1" x14ac:dyDescent="0.3">
      <c r="A163" s="1160">
        <f t="shared" si="33"/>
        <v>8</v>
      </c>
      <c r="B163" s="1328" t="str">
        <f t="shared" si="33"/>
        <v>Numerical protection system at Pawana Hydro Power Station</v>
      </c>
      <c r="C163" s="1160" t="str">
        <f t="shared" si="33"/>
        <v>N.A.</v>
      </c>
      <c r="D163" s="1010" t="str">
        <f t="shared" si="33"/>
        <v>-</v>
      </c>
      <c r="E163" s="1329">
        <f t="shared" si="33"/>
        <v>0</v>
      </c>
      <c r="F163" s="1334">
        <f t="shared" si="23"/>
        <v>0.33023999999999998</v>
      </c>
      <c r="G163" s="1334">
        <f t="shared" si="24"/>
        <v>0.33023999999999998</v>
      </c>
      <c r="H163" s="1334">
        <f t="shared" si="25"/>
        <v>0</v>
      </c>
      <c r="I163" s="1327">
        <v>0</v>
      </c>
      <c r="J163" s="1327">
        <v>0</v>
      </c>
      <c r="K163" s="1334"/>
      <c r="L163" s="1334"/>
      <c r="M163" s="1334">
        <f t="shared" si="32"/>
        <v>0</v>
      </c>
      <c r="N163" s="1334">
        <f t="shared" si="27"/>
        <v>0</v>
      </c>
    </row>
    <row r="164" spans="1:17" ht="16" thickBot="1" x14ac:dyDescent="0.3">
      <c r="A164" s="1009"/>
      <c r="B164" s="1008" t="str">
        <f t="shared" ref="B164" si="34">B111</f>
        <v>Total</v>
      </c>
      <c r="C164" s="1007"/>
      <c r="D164" s="1006"/>
      <c r="E164" s="1331"/>
      <c r="F164" s="1332">
        <f>SUM(F116:F163)</f>
        <v>32.700505661000001</v>
      </c>
      <c r="G164" s="1332">
        <f>SUM(G116:G163)</f>
        <v>20.630950940999998</v>
      </c>
      <c r="H164" s="1332">
        <f>SUM(H116:H163)</f>
        <v>12.069554720000001</v>
      </c>
      <c r="I164" s="1332">
        <f>SUM(I116:I163)</f>
        <v>2.77</v>
      </c>
      <c r="J164" s="1332">
        <f>SUM(J116:J163)</f>
        <v>2.77</v>
      </c>
      <c r="K164" s="1332">
        <f t="shared" ref="K164:N164" si="35">SUM(K116:K163)</f>
        <v>0</v>
      </c>
      <c r="L164" s="1332">
        <f t="shared" si="35"/>
        <v>0</v>
      </c>
      <c r="M164" s="1332">
        <f t="shared" si="35"/>
        <v>2.77</v>
      </c>
      <c r="N164" s="1332">
        <f t="shared" si="35"/>
        <v>12.069554720000001</v>
      </c>
    </row>
    <row r="165" spans="1:17" ht="15.5" x14ac:dyDescent="0.25">
      <c r="A165" s="1013"/>
      <c r="B165" s="1021"/>
      <c r="C165" s="1020"/>
      <c r="D165" s="1019"/>
      <c r="E165" s="1312"/>
      <c r="F165" s="1333"/>
      <c r="G165" s="1333"/>
      <c r="H165" s="1333"/>
      <c r="I165" s="1333"/>
      <c r="J165" s="1333"/>
      <c r="K165" s="1333"/>
      <c r="L165" s="1333"/>
      <c r="M165" s="1333"/>
      <c r="N165" s="1333"/>
      <c r="O165" s="1013"/>
      <c r="P165" s="1013"/>
    </row>
    <row r="166" spans="1:17" s="1013" customFormat="1" ht="15.5" x14ac:dyDescent="0.25">
      <c r="A166" s="1319"/>
      <c r="B166" s="1018" t="s">
        <v>940</v>
      </c>
      <c r="C166" s="1320"/>
      <c r="D166" s="1321"/>
      <c r="E166" s="1322"/>
      <c r="F166" s="1211"/>
      <c r="G166" s="1211"/>
      <c r="H166" s="1211"/>
      <c r="I166" s="1211"/>
      <c r="J166" s="1211"/>
      <c r="K166" s="1211"/>
      <c r="L166" s="1211"/>
      <c r="M166" s="1211"/>
      <c r="N166" s="1211"/>
    </row>
    <row r="167" spans="1:17" ht="15.5" outlineLevel="1" x14ac:dyDescent="0.35">
      <c r="A167" s="1319"/>
      <c r="B167" s="1017" t="str">
        <f t="shared" ref="B167:E182" si="36">B114</f>
        <v>a) DPR Schemes</v>
      </c>
      <c r="C167" s="1320"/>
      <c r="D167" s="1321"/>
      <c r="E167" s="1322"/>
      <c r="F167" s="1211"/>
      <c r="G167" s="1211"/>
      <c r="H167" s="1211"/>
      <c r="I167" s="1211"/>
      <c r="J167" s="1211"/>
      <c r="K167" s="1211"/>
      <c r="L167" s="1211"/>
      <c r="M167" s="1211"/>
      <c r="N167" s="1211"/>
      <c r="O167" s="1013"/>
      <c r="P167" s="1013"/>
    </row>
    <row r="168" spans="1:17" ht="15.5" outlineLevel="1" x14ac:dyDescent="0.25">
      <c r="A168" s="1150"/>
      <c r="B168" s="1150" t="str">
        <f t="shared" si="36"/>
        <v>(i) Submitted to MERC</v>
      </c>
      <c r="C168" s="1323"/>
      <c r="D168" s="1324"/>
      <c r="E168" s="1322"/>
      <c r="F168" s="1211"/>
      <c r="G168" s="1211"/>
      <c r="H168" s="1211"/>
      <c r="I168" s="1211"/>
      <c r="J168" s="1211"/>
      <c r="K168" s="1211"/>
      <c r="L168" s="1211"/>
      <c r="M168" s="1211"/>
      <c r="N168" s="1211"/>
      <c r="O168" s="1013"/>
      <c r="P168" s="1013"/>
    </row>
    <row r="169" spans="1:17" s="1013" customFormat="1" ht="31" outlineLevel="1" x14ac:dyDescent="0.25">
      <c r="A169" s="1153">
        <f t="shared" ref="A169:E184" si="37">A116</f>
        <v>2</v>
      </c>
      <c r="B169" s="1154" t="str">
        <f t="shared" si="36"/>
        <v>Various schemes of Hydro Power Stations at HPC Pune &amp; HPC Nasik</v>
      </c>
      <c r="C169" s="1153" t="str">
        <f t="shared" si="36"/>
        <v>MERC/TECH 12/CAPEX/20142015/00876</v>
      </c>
      <c r="D169" s="1325">
        <f t="shared" si="36"/>
        <v>41871</v>
      </c>
      <c r="E169" s="1326">
        <f t="shared" si="36"/>
        <v>1.5511999999999999</v>
      </c>
      <c r="F169" s="1327">
        <f t="shared" ref="F169:F216" si="38">F116+I116</f>
        <v>0</v>
      </c>
      <c r="G169" s="1327">
        <f t="shared" ref="G169:G216" si="39">G116+M116</f>
        <v>0</v>
      </c>
      <c r="H169" s="1327">
        <f t="shared" ref="H169:H216" si="40">F169-G169</f>
        <v>0</v>
      </c>
      <c r="I169" s="1327">
        <v>0</v>
      </c>
      <c r="J169" s="1327">
        <v>0</v>
      </c>
      <c r="K169" s="1327"/>
      <c r="L169" s="1327"/>
      <c r="M169" s="1327">
        <f t="shared" ref="M169" si="41">SUM(J169:L169)</f>
        <v>0</v>
      </c>
      <c r="N169" s="1327">
        <f t="shared" ref="N169:N216" si="42">H169+I169-M169</f>
        <v>0</v>
      </c>
      <c r="O169" s="1159">
        <f t="shared" ref="O169:O191" si="43">MAX(0,IF(M169=0,0,IF(G169+M169&lt;E169,M169,E169-G169)))</f>
        <v>0</v>
      </c>
      <c r="P169" s="1014">
        <f t="shared" ref="P169:P191" si="44">M169-O169</f>
        <v>0</v>
      </c>
    </row>
    <row r="170" spans="1:17" ht="31" outlineLevel="1" x14ac:dyDescent="0.25">
      <c r="A170" s="1160">
        <f t="shared" si="37"/>
        <v>2.4</v>
      </c>
      <c r="B170" s="1328" t="str">
        <f t="shared" si="36"/>
        <v>Replacement of existing AVR by SEE DVR system for Varasgaon Hydro Power Station.</v>
      </c>
      <c r="C170" s="1160" t="str">
        <f t="shared" si="36"/>
        <v>MERC/TECH 12/CAPEX/20142015/00876</v>
      </c>
      <c r="D170" s="1010">
        <f t="shared" si="36"/>
        <v>41871</v>
      </c>
      <c r="E170" s="1329">
        <f t="shared" si="36"/>
        <v>0.52</v>
      </c>
      <c r="F170" s="1334">
        <f t="shared" si="38"/>
        <v>0.30932749999999998</v>
      </c>
      <c r="G170" s="1334">
        <f t="shared" si="39"/>
        <v>0.30932749999999998</v>
      </c>
      <c r="H170" s="1334">
        <f t="shared" si="40"/>
        <v>0</v>
      </c>
      <c r="I170" s="1327">
        <v>0</v>
      </c>
      <c r="J170" s="1327">
        <v>0</v>
      </c>
      <c r="K170" s="1334"/>
      <c r="L170" s="1334"/>
      <c r="M170" s="1334">
        <f t="shared" ref="M170:M190" si="45">SUM(J170:L170)</f>
        <v>0</v>
      </c>
      <c r="N170" s="1334">
        <f t="shared" si="42"/>
        <v>0</v>
      </c>
      <c r="O170" s="1159">
        <f t="shared" si="43"/>
        <v>0</v>
      </c>
      <c r="P170" s="1014">
        <f t="shared" si="44"/>
        <v>0</v>
      </c>
    </row>
    <row r="171" spans="1:17" ht="31" outlineLevel="1" x14ac:dyDescent="0.25">
      <c r="A171" s="1160">
        <f t="shared" si="37"/>
        <v>2.5</v>
      </c>
      <c r="B171" s="1328" t="str">
        <f t="shared" si="36"/>
        <v xml:space="preserve"> Construction of Resthouse at Dimbhe HPS</v>
      </c>
      <c r="C171" s="1160" t="str">
        <f t="shared" si="36"/>
        <v>MERC/TECH 12/CAPEX/20142015/00876</v>
      </c>
      <c r="D171" s="1010">
        <f t="shared" si="36"/>
        <v>41871</v>
      </c>
      <c r="E171" s="1329">
        <f t="shared" si="36"/>
        <v>0.7</v>
      </c>
      <c r="F171" s="1334">
        <f t="shared" si="38"/>
        <v>0.73791230399999996</v>
      </c>
      <c r="G171" s="1334">
        <f t="shared" si="39"/>
        <v>0.73791230399999996</v>
      </c>
      <c r="H171" s="1334">
        <f t="shared" si="40"/>
        <v>0</v>
      </c>
      <c r="I171" s="1327">
        <v>0</v>
      </c>
      <c r="J171" s="1327">
        <v>0</v>
      </c>
      <c r="K171" s="1334"/>
      <c r="L171" s="1334"/>
      <c r="M171" s="1334">
        <f t="shared" si="45"/>
        <v>0</v>
      </c>
      <c r="N171" s="1334">
        <f t="shared" si="42"/>
        <v>0</v>
      </c>
      <c r="O171" s="1159">
        <f t="shared" si="43"/>
        <v>0</v>
      </c>
      <c r="P171" s="1014">
        <f t="shared" si="44"/>
        <v>0</v>
      </c>
      <c r="Q171" s="1013"/>
    </row>
    <row r="172" spans="1:17" ht="31" outlineLevel="1" x14ac:dyDescent="0.25">
      <c r="A172" s="1160">
        <f t="shared" si="37"/>
        <v>0</v>
      </c>
      <c r="B172" s="1328" t="str">
        <f t="shared" si="36"/>
        <v>IDC</v>
      </c>
      <c r="C172" s="1160" t="str">
        <f t="shared" si="36"/>
        <v>MERC/TECH 12/CAPEX/20142015/00876</v>
      </c>
      <c r="D172" s="1010">
        <f t="shared" si="36"/>
        <v>41871</v>
      </c>
      <c r="E172" s="1329">
        <f t="shared" si="36"/>
        <v>0.33119999999999999</v>
      </c>
      <c r="F172" s="1334">
        <f t="shared" si="38"/>
        <v>0</v>
      </c>
      <c r="G172" s="1334">
        <f t="shared" si="39"/>
        <v>0</v>
      </c>
      <c r="H172" s="1334">
        <f t="shared" si="40"/>
        <v>0</v>
      </c>
      <c r="I172" s="1327">
        <v>0</v>
      </c>
      <c r="J172" s="1327">
        <v>0</v>
      </c>
      <c r="K172" s="1334"/>
      <c r="L172" s="1334"/>
      <c r="M172" s="1334">
        <f t="shared" si="45"/>
        <v>0</v>
      </c>
      <c r="N172" s="1334">
        <f t="shared" si="42"/>
        <v>0</v>
      </c>
      <c r="O172" s="1159">
        <f t="shared" si="43"/>
        <v>0</v>
      </c>
      <c r="P172" s="1014">
        <f t="shared" si="44"/>
        <v>0</v>
      </c>
      <c r="Q172" s="1013"/>
    </row>
    <row r="173" spans="1:17" s="1013" customFormat="1" ht="31" outlineLevel="1" x14ac:dyDescent="0.25">
      <c r="A173" s="1153">
        <f t="shared" si="37"/>
        <v>5</v>
      </c>
      <c r="B173" s="1154" t="str">
        <f t="shared" si="36"/>
        <v>Various Civil schemes for Modernisations of colonies at Various Locations under Pune HPC</v>
      </c>
      <c r="C173" s="1153" t="str">
        <f t="shared" si="36"/>
        <v>MERC/CAPEX/20162017/01745</v>
      </c>
      <c r="D173" s="1325">
        <f t="shared" si="36"/>
        <v>42825</v>
      </c>
      <c r="E173" s="1326">
        <f t="shared" si="36"/>
        <v>12.812999999999999</v>
      </c>
      <c r="F173" s="1327">
        <f t="shared" si="38"/>
        <v>0</v>
      </c>
      <c r="G173" s="1327">
        <f t="shared" si="39"/>
        <v>0</v>
      </c>
      <c r="H173" s="1327">
        <f t="shared" si="40"/>
        <v>0</v>
      </c>
      <c r="I173" s="1327">
        <v>0</v>
      </c>
      <c r="J173" s="1327">
        <v>0</v>
      </c>
      <c r="K173" s="1327"/>
      <c r="L173" s="1327"/>
      <c r="M173" s="1327">
        <f t="shared" si="45"/>
        <v>0</v>
      </c>
      <c r="N173" s="1327">
        <f t="shared" si="42"/>
        <v>0</v>
      </c>
      <c r="O173" s="1159">
        <f t="shared" si="43"/>
        <v>0</v>
      </c>
      <c r="P173" s="1014">
        <f t="shared" si="44"/>
        <v>0</v>
      </c>
    </row>
    <row r="174" spans="1:17" ht="15.5" outlineLevel="1" x14ac:dyDescent="0.25">
      <c r="A174" s="1160">
        <f t="shared" si="37"/>
        <v>5.0999999999999996</v>
      </c>
      <c r="B174" s="1328" t="str">
        <f t="shared" si="36"/>
        <v>Refurbishing of Residential complex</v>
      </c>
      <c r="C174" s="1160" t="str">
        <f t="shared" si="36"/>
        <v>MERC/CAPEX/20162017/01745</v>
      </c>
      <c r="D174" s="1010">
        <f t="shared" si="36"/>
        <v>42825</v>
      </c>
      <c r="E174" s="1329">
        <f t="shared" si="36"/>
        <v>2.415</v>
      </c>
      <c r="F174" s="1334">
        <f t="shared" si="38"/>
        <v>1.2675034840000001</v>
      </c>
      <c r="G174" s="1334">
        <f t="shared" si="39"/>
        <v>1.2675034840000001</v>
      </c>
      <c r="H174" s="1334">
        <f t="shared" si="40"/>
        <v>0</v>
      </c>
      <c r="I174" s="1327">
        <v>0</v>
      </c>
      <c r="J174" s="1327">
        <v>0</v>
      </c>
      <c r="K174" s="1334"/>
      <c r="L174" s="1334"/>
      <c r="M174" s="1334">
        <f t="shared" si="45"/>
        <v>0</v>
      </c>
      <c r="N174" s="1334">
        <f t="shared" si="42"/>
        <v>0</v>
      </c>
      <c r="O174" s="1159">
        <f t="shared" si="43"/>
        <v>0</v>
      </c>
      <c r="P174" s="1014">
        <f t="shared" si="44"/>
        <v>0</v>
      </c>
      <c r="Q174" s="1013"/>
    </row>
    <row r="175" spans="1:17" ht="15.5" outlineLevel="1" x14ac:dyDescent="0.25">
      <c r="A175" s="1160">
        <f t="shared" si="37"/>
        <v>5.2</v>
      </c>
      <c r="B175" s="1328" t="str">
        <f t="shared" si="36"/>
        <v>Internal Roads</v>
      </c>
      <c r="C175" s="1160" t="str">
        <f t="shared" si="36"/>
        <v>MERC/CAPEX/20162017/01745</v>
      </c>
      <c r="D175" s="1010">
        <f t="shared" si="36"/>
        <v>42825</v>
      </c>
      <c r="E175" s="1329">
        <f t="shared" si="36"/>
        <v>2.29</v>
      </c>
      <c r="F175" s="1334">
        <f t="shared" si="38"/>
        <v>1.6182413759999996</v>
      </c>
      <c r="G175" s="1334">
        <f t="shared" si="39"/>
        <v>1.6182413759999998</v>
      </c>
      <c r="H175" s="1334">
        <f t="shared" si="40"/>
        <v>0</v>
      </c>
      <c r="I175" s="1327">
        <v>0</v>
      </c>
      <c r="J175" s="1327">
        <v>0</v>
      </c>
      <c r="K175" s="1334"/>
      <c r="L175" s="1334"/>
      <c r="M175" s="1334">
        <f t="shared" si="45"/>
        <v>0</v>
      </c>
      <c r="N175" s="1334">
        <f t="shared" si="42"/>
        <v>0</v>
      </c>
      <c r="O175" s="1159">
        <f t="shared" si="43"/>
        <v>0</v>
      </c>
      <c r="P175" s="1014">
        <f t="shared" si="44"/>
        <v>0</v>
      </c>
      <c r="Q175" s="1013"/>
    </row>
    <row r="176" spans="1:17" ht="15.5" outlineLevel="1" x14ac:dyDescent="0.25">
      <c r="A176" s="1160">
        <f t="shared" si="37"/>
        <v>5.3</v>
      </c>
      <c r="B176" s="1328" t="str">
        <f t="shared" si="36"/>
        <v>Water supply, filteration &amp;  Sanitary works</v>
      </c>
      <c r="C176" s="1160" t="str">
        <f t="shared" si="36"/>
        <v>MERC/CAPEX/20162017/01745</v>
      </c>
      <c r="D176" s="1010">
        <f t="shared" si="36"/>
        <v>42825</v>
      </c>
      <c r="E176" s="1329">
        <f t="shared" si="36"/>
        <v>1.427</v>
      </c>
      <c r="F176" s="1334">
        <f t="shared" si="38"/>
        <v>0.57282329500000007</v>
      </c>
      <c r="G176" s="1334">
        <f t="shared" si="39"/>
        <v>0.57282329500000007</v>
      </c>
      <c r="H176" s="1334">
        <f t="shared" si="40"/>
        <v>0</v>
      </c>
      <c r="I176" s="1327">
        <v>0</v>
      </c>
      <c r="J176" s="1327">
        <v>0</v>
      </c>
      <c r="K176" s="1334"/>
      <c r="L176" s="1334"/>
      <c r="M176" s="1334">
        <f t="shared" si="45"/>
        <v>0</v>
      </c>
      <c r="N176" s="1334">
        <f t="shared" si="42"/>
        <v>0</v>
      </c>
      <c r="O176" s="1159">
        <f t="shared" si="43"/>
        <v>0</v>
      </c>
      <c r="P176" s="1014">
        <f t="shared" si="44"/>
        <v>0</v>
      </c>
      <c r="Q176" s="1013"/>
    </row>
    <row r="177" spans="1:17" ht="15.5" outlineLevel="1" x14ac:dyDescent="0.25">
      <c r="A177" s="1160">
        <f t="shared" si="37"/>
        <v>5.4</v>
      </c>
      <c r="B177" s="1328" t="str">
        <f t="shared" si="36"/>
        <v>Compound walls</v>
      </c>
      <c r="C177" s="1160" t="str">
        <f t="shared" si="36"/>
        <v>MERC/CAPEX/20162017/01745</v>
      </c>
      <c r="D177" s="1010">
        <f t="shared" si="36"/>
        <v>42825</v>
      </c>
      <c r="E177" s="1329">
        <f t="shared" si="36"/>
        <v>6.681</v>
      </c>
      <c r="F177" s="1334">
        <f t="shared" si="38"/>
        <v>7.5560763239999993</v>
      </c>
      <c r="G177" s="1334">
        <f t="shared" si="39"/>
        <v>7.5560763239999993</v>
      </c>
      <c r="H177" s="1334">
        <f t="shared" si="40"/>
        <v>0</v>
      </c>
      <c r="I177" s="1327">
        <v>0</v>
      </c>
      <c r="J177" s="1327">
        <v>0</v>
      </c>
      <c r="K177" s="1334"/>
      <c r="L177" s="1334"/>
      <c r="M177" s="1334">
        <f t="shared" si="45"/>
        <v>0</v>
      </c>
      <c r="N177" s="1334">
        <f t="shared" si="42"/>
        <v>0</v>
      </c>
      <c r="O177" s="1159">
        <f t="shared" si="43"/>
        <v>0</v>
      </c>
      <c r="P177" s="1014">
        <f t="shared" si="44"/>
        <v>0</v>
      </c>
      <c r="Q177" s="1013">
        <v>-2.3408937000000074E-2</v>
      </c>
    </row>
    <row r="178" spans="1:17" s="1013" customFormat="1" ht="31" outlineLevel="1" x14ac:dyDescent="0.25">
      <c r="A178" s="1153">
        <f t="shared" si="37"/>
        <v>14</v>
      </c>
      <c r="B178" s="1154" t="str">
        <f t="shared" si="36"/>
        <v>Various 14 Nos. of schemes for Hydro Power Stations under Renewable Energy Circle, Pune &amp; Nasik</v>
      </c>
      <c r="C178" s="1153" t="str">
        <f t="shared" si="36"/>
        <v>MERC/CAPEX/2020-21/WFH/SBR/ 19</v>
      </c>
      <c r="D178" s="1325">
        <f t="shared" si="36"/>
        <v>44029</v>
      </c>
      <c r="E178" s="1326">
        <f t="shared" si="36"/>
        <v>1.9079999999999999</v>
      </c>
      <c r="F178" s="1327">
        <f t="shared" si="38"/>
        <v>0</v>
      </c>
      <c r="G178" s="1327">
        <f t="shared" si="39"/>
        <v>0</v>
      </c>
      <c r="H178" s="1327">
        <f t="shared" si="40"/>
        <v>0</v>
      </c>
      <c r="I178" s="1327">
        <v>0</v>
      </c>
      <c r="J178" s="1327">
        <v>0</v>
      </c>
      <c r="K178" s="1327"/>
      <c r="L178" s="1327"/>
      <c r="M178" s="1327">
        <f t="shared" si="45"/>
        <v>0</v>
      </c>
      <c r="N178" s="1327">
        <f t="shared" si="42"/>
        <v>0</v>
      </c>
      <c r="O178" s="1159">
        <f t="shared" si="43"/>
        <v>0</v>
      </c>
      <c r="P178" s="1014">
        <f t="shared" si="44"/>
        <v>0</v>
      </c>
    </row>
    <row r="179" spans="1:17" ht="31" outlineLevel="1" x14ac:dyDescent="0.25">
      <c r="A179" s="1160">
        <f t="shared" si="37"/>
        <v>14.1</v>
      </c>
      <c r="B179" s="1328" t="str">
        <f t="shared" si="36"/>
        <v>Schme-A: Retrofitting of 12 KV Breakers at Ujjani Hydro Power Station</v>
      </c>
      <c r="C179" s="1160" t="str">
        <f t="shared" si="36"/>
        <v>MERC/CAPEX/2020-21/WFH/SBR/ 19</v>
      </c>
      <c r="D179" s="1010">
        <f t="shared" si="36"/>
        <v>44029</v>
      </c>
      <c r="E179" s="1329">
        <f t="shared" si="36"/>
        <v>0.39500000000000002</v>
      </c>
      <c r="F179" s="1334">
        <f t="shared" si="38"/>
        <v>0.26762399999999997</v>
      </c>
      <c r="G179" s="1334">
        <f t="shared" si="39"/>
        <v>0.26762399999999997</v>
      </c>
      <c r="H179" s="1334">
        <f t="shared" si="40"/>
        <v>0</v>
      </c>
      <c r="I179" s="1327">
        <v>0</v>
      </c>
      <c r="J179" s="1327">
        <v>0</v>
      </c>
      <c r="K179" s="1334"/>
      <c r="L179" s="1334"/>
      <c r="M179" s="1334">
        <f t="shared" si="45"/>
        <v>0</v>
      </c>
      <c r="N179" s="1334">
        <f t="shared" si="42"/>
        <v>0</v>
      </c>
      <c r="O179" s="1159">
        <f t="shared" si="43"/>
        <v>0</v>
      </c>
      <c r="P179" s="1014">
        <f t="shared" si="44"/>
        <v>0</v>
      </c>
      <c r="Q179" s="1013"/>
    </row>
    <row r="180" spans="1:17" ht="31" outlineLevel="1" x14ac:dyDescent="0.25">
      <c r="A180" s="1160">
        <f t="shared" si="37"/>
        <v>14.3</v>
      </c>
      <c r="B180" s="1328" t="str">
        <f t="shared" si="36"/>
        <v>Schme-C :Replacement of existing Energy meters by 0.2S Class Energy meters at various HPS.</v>
      </c>
      <c r="C180" s="1160" t="str">
        <f t="shared" si="36"/>
        <v>MERC/CAPEX/2020-21/WFH/SBR/ 19</v>
      </c>
      <c r="D180" s="1010">
        <f t="shared" si="36"/>
        <v>44029</v>
      </c>
      <c r="E180" s="1329">
        <f t="shared" si="36"/>
        <v>0.10199999999999999</v>
      </c>
      <c r="F180" s="1334">
        <f t="shared" si="38"/>
        <v>9.6156000000000005E-2</v>
      </c>
      <c r="G180" s="1334">
        <f t="shared" si="39"/>
        <v>7.969248000000001E-2</v>
      </c>
      <c r="H180" s="1334">
        <f t="shared" si="40"/>
        <v>1.6463519999999995E-2</v>
      </c>
      <c r="I180" s="1327">
        <v>0</v>
      </c>
      <c r="J180" s="1327">
        <v>0</v>
      </c>
      <c r="K180" s="1334"/>
      <c r="L180" s="1334"/>
      <c r="M180" s="1334">
        <f t="shared" si="45"/>
        <v>0</v>
      </c>
      <c r="N180" s="1334">
        <f t="shared" si="42"/>
        <v>1.6463519999999995E-2</v>
      </c>
      <c r="O180" s="1159">
        <f t="shared" si="43"/>
        <v>0</v>
      </c>
      <c r="P180" s="1014">
        <f t="shared" si="44"/>
        <v>0</v>
      </c>
      <c r="Q180" s="1013"/>
    </row>
    <row r="181" spans="1:17" ht="31" outlineLevel="1" x14ac:dyDescent="0.25">
      <c r="A181" s="1160">
        <f t="shared" si="37"/>
        <v>14.4</v>
      </c>
      <c r="B181" s="1328" t="str">
        <f t="shared" si="36"/>
        <v>Schme-D: Providing Oil Filtration Machines for all Divisions of REC, Pune</v>
      </c>
      <c r="C181" s="1160" t="str">
        <f t="shared" si="36"/>
        <v>MERC/CAPEX/2020-21/WFH/SBR/ 19</v>
      </c>
      <c r="D181" s="1010">
        <f t="shared" si="36"/>
        <v>44029</v>
      </c>
      <c r="E181" s="1329">
        <f t="shared" si="36"/>
        <v>0.56100000000000005</v>
      </c>
      <c r="F181" s="1334">
        <f t="shared" si="38"/>
        <v>0.2723912</v>
      </c>
      <c r="G181" s="1334">
        <f t="shared" si="39"/>
        <v>0.2723912</v>
      </c>
      <c r="H181" s="1334">
        <f t="shared" si="40"/>
        <v>0</v>
      </c>
      <c r="I181" s="1327">
        <v>0</v>
      </c>
      <c r="J181" s="1327">
        <v>0</v>
      </c>
      <c r="K181" s="1334"/>
      <c r="L181" s="1334"/>
      <c r="M181" s="1334">
        <f t="shared" si="45"/>
        <v>0</v>
      </c>
      <c r="N181" s="1334">
        <f t="shared" si="42"/>
        <v>0</v>
      </c>
      <c r="O181" s="1159">
        <f t="shared" si="43"/>
        <v>0</v>
      </c>
      <c r="P181" s="1014">
        <f t="shared" si="44"/>
        <v>0</v>
      </c>
      <c r="Q181" s="1013"/>
    </row>
    <row r="182" spans="1:17" ht="15.5" outlineLevel="1" x14ac:dyDescent="0.25">
      <c r="A182" s="1160">
        <f t="shared" si="37"/>
        <v>0</v>
      </c>
      <c r="B182" s="1328" t="str">
        <f t="shared" si="36"/>
        <v>IDC</v>
      </c>
      <c r="C182" s="1160" t="str">
        <f t="shared" si="36"/>
        <v>MERC/CAPEX/2020-21/WFH/SBR/ 19</v>
      </c>
      <c r="D182" s="1010">
        <f t="shared" si="36"/>
        <v>44029</v>
      </c>
      <c r="E182" s="1329">
        <f t="shared" si="36"/>
        <v>0.85</v>
      </c>
      <c r="F182" s="1334">
        <f t="shared" si="38"/>
        <v>0</v>
      </c>
      <c r="G182" s="1334">
        <f t="shared" si="39"/>
        <v>0</v>
      </c>
      <c r="H182" s="1334">
        <f t="shared" si="40"/>
        <v>0</v>
      </c>
      <c r="I182" s="1327">
        <v>0</v>
      </c>
      <c r="J182" s="1327">
        <v>0</v>
      </c>
      <c r="K182" s="1334"/>
      <c r="L182" s="1334"/>
      <c r="M182" s="1334">
        <f t="shared" si="45"/>
        <v>0</v>
      </c>
      <c r="N182" s="1334">
        <f t="shared" si="42"/>
        <v>0</v>
      </c>
      <c r="O182" s="1159">
        <f t="shared" si="43"/>
        <v>0</v>
      </c>
      <c r="P182" s="1014">
        <f t="shared" si="44"/>
        <v>0</v>
      </c>
      <c r="Q182" s="1013"/>
    </row>
    <row r="183" spans="1:17" s="1013" customFormat="1" ht="31" outlineLevel="1" x14ac:dyDescent="0.25">
      <c r="A183" s="1153">
        <f t="shared" si="37"/>
        <v>16</v>
      </c>
      <c r="B183" s="1154" t="str">
        <f t="shared" si="37"/>
        <v>Various 6 Nos. Schemes for Hydro Power Stations under Renewable Energy Circle, Pune</v>
      </c>
      <c r="C183" s="1153" t="str">
        <f t="shared" si="37"/>
        <v>MERC/CAPEX/2020-2021/WFH/ SBR/22</v>
      </c>
      <c r="D183" s="1325">
        <f t="shared" si="37"/>
        <v>44037</v>
      </c>
      <c r="E183" s="1326">
        <f t="shared" si="37"/>
        <v>10.861000000000001</v>
      </c>
      <c r="F183" s="1327">
        <f t="shared" si="38"/>
        <v>0</v>
      </c>
      <c r="G183" s="1327">
        <f t="shared" si="39"/>
        <v>0</v>
      </c>
      <c r="H183" s="1327">
        <f t="shared" si="40"/>
        <v>0</v>
      </c>
      <c r="I183" s="1327">
        <v>0</v>
      </c>
      <c r="J183" s="1327">
        <v>0</v>
      </c>
      <c r="K183" s="1327"/>
      <c r="L183" s="1327"/>
      <c r="M183" s="1327">
        <f t="shared" si="45"/>
        <v>0</v>
      </c>
      <c r="N183" s="1327">
        <f t="shared" si="42"/>
        <v>0</v>
      </c>
      <c r="O183" s="1159">
        <f t="shared" si="43"/>
        <v>0</v>
      </c>
      <c r="P183" s="1014">
        <f t="shared" si="44"/>
        <v>0</v>
      </c>
    </row>
    <row r="184" spans="1:17" ht="31" outlineLevel="1" x14ac:dyDescent="0.25">
      <c r="A184" s="1160">
        <f t="shared" si="37"/>
        <v>16.100000000000001</v>
      </c>
      <c r="B184" s="1328" t="str">
        <f t="shared" si="37"/>
        <v>Replacement of existing Air Compressors at Bhira, Tilari, Pawana and Ujjani Hydro Power Stations under REC, Pune</v>
      </c>
      <c r="C184" s="1160" t="str">
        <f t="shared" si="37"/>
        <v>MERC/CAPEX/2020-2021/WFH/ SBR/22</v>
      </c>
      <c r="D184" s="1010">
        <f t="shared" si="37"/>
        <v>44037</v>
      </c>
      <c r="E184" s="1329">
        <f t="shared" si="37"/>
        <v>0.95099999999999996</v>
      </c>
      <c r="F184" s="1334">
        <f t="shared" si="38"/>
        <v>0.13</v>
      </c>
      <c r="G184" s="1334">
        <f t="shared" si="39"/>
        <v>0.13</v>
      </c>
      <c r="H184" s="1334">
        <f t="shared" si="40"/>
        <v>0</v>
      </c>
      <c r="I184" s="1327">
        <v>0.48</v>
      </c>
      <c r="J184" s="1327">
        <v>0.48</v>
      </c>
      <c r="K184" s="1334"/>
      <c r="L184" s="1334"/>
      <c r="M184" s="1334">
        <f t="shared" si="45"/>
        <v>0.48</v>
      </c>
      <c r="N184" s="1334">
        <f t="shared" si="42"/>
        <v>0</v>
      </c>
      <c r="O184" s="1159">
        <f t="shared" si="43"/>
        <v>0.48</v>
      </c>
      <c r="P184" s="1014">
        <f t="shared" si="44"/>
        <v>0</v>
      </c>
      <c r="Q184" s="1013"/>
    </row>
    <row r="185" spans="1:17" ht="62" outlineLevel="1" x14ac:dyDescent="0.25">
      <c r="A185" s="1160">
        <f t="shared" ref="A185:E200" si="46">A132</f>
        <v>16.2</v>
      </c>
      <c r="B185" s="1328" t="str">
        <f t="shared" si="46"/>
        <v>Replacement of existing Air conditioners of Plant Control Rooms at Ujjani, Warna, Kanher, Dhom, Dimbhe &amp; Dudhganga
HPS.</v>
      </c>
      <c r="C185" s="1160" t="str">
        <f t="shared" si="46"/>
        <v>MERC/CAPEX/2020-2021/WFH/ SBR/22</v>
      </c>
      <c r="D185" s="1010">
        <f t="shared" si="46"/>
        <v>44037</v>
      </c>
      <c r="E185" s="1329">
        <f t="shared" si="46"/>
        <v>0.29199999999999998</v>
      </c>
      <c r="F185" s="1334">
        <f t="shared" si="38"/>
        <v>0.25256440000000002</v>
      </c>
      <c r="G185" s="1334">
        <f t="shared" si="39"/>
        <v>0.25256440000000002</v>
      </c>
      <c r="H185" s="1334">
        <f t="shared" si="40"/>
        <v>0</v>
      </c>
      <c r="I185" s="1327">
        <v>0</v>
      </c>
      <c r="J185" s="1327">
        <v>0</v>
      </c>
      <c r="K185" s="1334"/>
      <c r="L185" s="1334"/>
      <c r="M185" s="1334">
        <f t="shared" si="45"/>
        <v>0</v>
      </c>
      <c r="N185" s="1334">
        <f t="shared" si="42"/>
        <v>0</v>
      </c>
      <c r="O185" s="1159">
        <f t="shared" si="43"/>
        <v>0</v>
      </c>
      <c r="P185" s="1014">
        <f t="shared" si="44"/>
        <v>0</v>
      </c>
      <c r="Q185" s="1013"/>
    </row>
    <row r="186" spans="1:17" ht="46.5" outlineLevel="1" x14ac:dyDescent="0.25">
      <c r="A186" s="1160">
        <f t="shared" si="46"/>
        <v>16.399999999999999</v>
      </c>
      <c r="B186" s="1328" t="str">
        <f t="shared" si="46"/>
        <v>Replacement of 220 V, 400/300 AH Battery set with Tubular type Battery Banks at Bhira, Tilari, Kanher, Dimbhe and Ujani Hydro Power Stations.</v>
      </c>
      <c r="C186" s="1160" t="str">
        <f t="shared" si="46"/>
        <v>MERC/CAPEX/2020-2021/WFH/ SBR/22</v>
      </c>
      <c r="D186" s="1010">
        <f t="shared" si="46"/>
        <v>44037</v>
      </c>
      <c r="E186" s="1329">
        <f t="shared" si="46"/>
        <v>0.89999999999999991</v>
      </c>
      <c r="F186" s="1334">
        <f t="shared" si="38"/>
        <v>0.35828399999999999</v>
      </c>
      <c r="G186" s="1334">
        <f t="shared" si="39"/>
        <v>0.35828399999999999</v>
      </c>
      <c r="H186" s="1334">
        <f t="shared" si="40"/>
        <v>0</v>
      </c>
      <c r="I186" s="1327">
        <v>0</v>
      </c>
      <c r="J186" s="1327">
        <v>0</v>
      </c>
      <c r="K186" s="1334"/>
      <c r="L186" s="1334"/>
      <c r="M186" s="1334">
        <f t="shared" si="45"/>
        <v>0</v>
      </c>
      <c r="N186" s="1334">
        <f t="shared" si="42"/>
        <v>0</v>
      </c>
      <c r="O186" s="1159">
        <f t="shared" si="43"/>
        <v>0</v>
      </c>
      <c r="P186" s="1014">
        <f t="shared" si="44"/>
        <v>0</v>
      </c>
      <c r="Q186" s="1013"/>
    </row>
    <row r="187" spans="1:17" ht="31" outlineLevel="1" x14ac:dyDescent="0.25">
      <c r="A187" s="1160">
        <f t="shared" si="46"/>
        <v>16.5</v>
      </c>
      <c r="B187" s="1328" t="str">
        <f t="shared" si="46"/>
        <v>Supply, installation and commissioning of Kaplan Turbine Runner Blades from BHEL (OEM) for Dudhganga U#1.</v>
      </c>
      <c r="C187" s="1160" t="str">
        <f t="shared" si="46"/>
        <v>MERC/CAPEX/2020-2021/WFH/ SBR/22</v>
      </c>
      <c r="D187" s="1010">
        <f t="shared" si="46"/>
        <v>44037</v>
      </c>
      <c r="E187" s="1329">
        <f t="shared" si="46"/>
        <v>4.657</v>
      </c>
      <c r="F187" s="1334">
        <f t="shared" si="38"/>
        <v>4.5730371359999999</v>
      </c>
      <c r="G187" s="1334">
        <f t="shared" si="39"/>
        <v>4.5799459359999997</v>
      </c>
      <c r="H187" s="1334">
        <f t="shared" si="40"/>
        <v>-6.9087999999997152E-3</v>
      </c>
      <c r="I187" s="1327">
        <v>0</v>
      </c>
      <c r="J187" s="1327">
        <v>0</v>
      </c>
      <c r="K187" s="1334"/>
      <c r="L187" s="1334"/>
      <c r="M187" s="1334">
        <f t="shared" si="45"/>
        <v>0</v>
      </c>
      <c r="N187" s="1334">
        <f t="shared" si="42"/>
        <v>-6.9087999999997152E-3</v>
      </c>
      <c r="O187" s="1159">
        <f t="shared" si="43"/>
        <v>0</v>
      </c>
      <c r="P187" s="1014">
        <f t="shared" si="44"/>
        <v>0</v>
      </c>
    </row>
    <row r="188" spans="1:17" ht="46.5" outlineLevel="1" x14ac:dyDescent="0.25">
      <c r="A188" s="1160">
        <f t="shared" si="46"/>
        <v>16.600000000000001</v>
      </c>
      <c r="B188" s="1328" t="str">
        <f t="shared" si="46"/>
        <v>Replacement of existing Protection Systems with Numerical Protection system at Bhira, Panshet, Varasgaon, Dimbhe &amp; Manikdoh HPS.</v>
      </c>
      <c r="C188" s="1160" t="str">
        <f t="shared" si="46"/>
        <v>MERC/CAPEX/2020-2021/WFH/ SBR/22</v>
      </c>
      <c r="D188" s="1010">
        <f t="shared" si="46"/>
        <v>44037</v>
      </c>
      <c r="E188" s="1329">
        <f t="shared" si="46"/>
        <v>3.6220000000000003</v>
      </c>
      <c r="F188" s="1334">
        <f t="shared" si="38"/>
        <v>2.13395</v>
      </c>
      <c r="G188" s="1334">
        <f t="shared" si="39"/>
        <v>2.13395</v>
      </c>
      <c r="H188" s="1334">
        <f t="shared" si="40"/>
        <v>0</v>
      </c>
      <c r="I188" s="1327">
        <v>0</v>
      </c>
      <c r="J188" s="1327">
        <v>0</v>
      </c>
      <c r="K188" s="1334"/>
      <c r="L188" s="1334"/>
      <c r="M188" s="1334">
        <f t="shared" si="45"/>
        <v>0</v>
      </c>
      <c r="N188" s="1334">
        <f t="shared" si="42"/>
        <v>0</v>
      </c>
      <c r="O188" s="1159">
        <f t="shared" si="43"/>
        <v>0</v>
      </c>
      <c r="P188" s="1014">
        <f t="shared" si="44"/>
        <v>0</v>
      </c>
    </row>
    <row r="189" spans="1:17" ht="31" outlineLevel="1" x14ac:dyDescent="0.25">
      <c r="A189" s="1160">
        <f t="shared" si="46"/>
        <v>0</v>
      </c>
      <c r="B189" s="1328" t="str">
        <f t="shared" si="46"/>
        <v>IDC</v>
      </c>
      <c r="C189" s="1160" t="str">
        <f t="shared" si="46"/>
        <v>MERC/CAPEX/2020-2021/WFH/ SBR/22</v>
      </c>
      <c r="D189" s="1010">
        <f t="shared" si="46"/>
        <v>44037</v>
      </c>
      <c r="E189" s="1329">
        <f t="shared" si="46"/>
        <v>0.439</v>
      </c>
      <c r="F189" s="1334">
        <f t="shared" si="38"/>
        <v>0</v>
      </c>
      <c r="G189" s="1334">
        <f t="shared" si="39"/>
        <v>0</v>
      </c>
      <c r="H189" s="1334">
        <f t="shared" si="40"/>
        <v>0</v>
      </c>
      <c r="I189" s="1327">
        <v>0</v>
      </c>
      <c r="J189" s="1327">
        <v>0</v>
      </c>
      <c r="K189" s="1334"/>
      <c r="L189" s="1334"/>
      <c r="M189" s="1334">
        <f t="shared" si="45"/>
        <v>0</v>
      </c>
      <c r="N189" s="1334">
        <f t="shared" si="42"/>
        <v>0</v>
      </c>
      <c r="O189" s="1159">
        <f t="shared" si="43"/>
        <v>0</v>
      </c>
      <c r="P189" s="1014">
        <f t="shared" si="44"/>
        <v>0</v>
      </c>
    </row>
    <row r="190" spans="1:17" ht="31" outlineLevel="1" x14ac:dyDescent="0.25">
      <c r="A190" s="1015">
        <f t="shared" si="46"/>
        <v>17</v>
      </c>
      <c r="B190" s="1016" t="str">
        <f t="shared" si="46"/>
        <v xml:space="preserve">Fortification near Panshet hydro power station for arresting rock falling on HPS Building at panshet . </v>
      </c>
      <c r="C190" s="1015" t="str">
        <f t="shared" si="46"/>
        <v xml:space="preserve">Not approved </v>
      </c>
      <c r="D190" s="1010" t="str">
        <f t="shared" si="46"/>
        <v>-</v>
      </c>
      <c r="E190" s="1330">
        <f t="shared" si="46"/>
        <v>0</v>
      </c>
      <c r="F190" s="1330">
        <f t="shared" si="38"/>
        <v>0</v>
      </c>
      <c r="G190" s="1330">
        <f t="shared" si="39"/>
        <v>0</v>
      </c>
      <c r="H190" s="1330">
        <f t="shared" si="40"/>
        <v>0</v>
      </c>
      <c r="I190" s="1327">
        <v>0</v>
      </c>
      <c r="J190" s="1327">
        <v>0</v>
      </c>
      <c r="K190" s="1330"/>
      <c r="L190" s="1330"/>
      <c r="M190" s="1330">
        <f t="shared" si="45"/>
        <v>0</v>
      </c>
      <c r="N190" s="1330">
        <f t="shared" si="42"/>
        <v>0</v>
      </c>
      <c r="O190" s="1159">
        <f t="shared" si="43"/>
        <v>0</v>
      </c>
      <c r="P190" s="1014">
        <f t="shared" si="44"/>
        <v>0</v>
      </c>
    </row>
    <row r="191" spans="1:17" ht="31" outlineLevel="1" x14ac:dyDescent="0.25">
      <c r="A191" s="1015">
        <f t="shared" si="46"/>
        <v>17.100000000000001</v>
      </c>
      <c r="B191" s="1016" t="str">
        <f t="shared" si="46"/>
        <v xml:space="preserve">Fortification near Panshet hydro power station for arresting rock falling on HPS Building at panshet . </v>
      </c>
      <c r="C191" s="1015" t="str">
        <f t="shared" si="46"/>
        <v xml:space="preserve">Not approved </v>
      </c>
      <c r="D191" s="1010" t="str">
        <f t="shared" si="46"/>
        <v>-</v>
      </c>
      <c r="E191" s="1330">
        <f t="shared" si="46"/>
        <v>0</v>
      </c>
      <c r="F191" s="1330">
        <f t="shared" si="38"/>
        <v>12.06</v>
      </c>
      <c r="G191" s="1330">
        <f t="shared" si="39"/>
        <v>0</v>
      </c>
      <c r="H191" s="1330">
        <f t="shared" si="40"/>
        <v>12.06</v>
      </c>
      <c r="I191" s="1327">
        <v>0</v>
      </c>
      <c r="J191" s="1327">
        <v>0</v>
      </c>
      <c r="K191" s="1330"/>
      <c r="L191" s="1330"/>
      <c r="M191" s="1330">
        <f t="shared" ref="M191:M216" si="47">SUM(J191:L191)</f>
        <v>0</v>
      </c>
      <c r="N191" s="1330">
        <f t="shared" si="42"/>
        <v>12.06</v>
      </c>
      <c r="O191" s="1159">
        <f t="shared" si="43"/>
        <v>0</v>
      </c>
      <c r="P191" s="1014">
        <f t="shared" si="44"/>
        <v>0</v>
      </c>
    </row>
    <row r="192" spans="1:17" ht="15.5" outlineLevel="1" x14ac:dyDescent="0.25">
      <c r="A192" s="1011">
        <f t="shared" si="46"/>
        <v>0</v>
      </c>
      <c r="B192" s="1150" t="str">
        <f t="shared" si="46"/>
        <v>(ii) Yet to be submitted to MERC</v>
      </c>
      <c r="C192" s="1011">
        <f t="shared" si="46"/>
        <v>0</v>
      </c>
      <c r="D192" s="1010" t="str">
        <f t="shared" si="46"/>
        <v>-</v>
      </c>
      <c r="E192" s="1330">
        <f t="shared" si="46"/>
        <v>0</v>
      </c>
      <c r="F192" s="1259">
        <f t="shared" si="38"/>
        <v>0</v>
      </c>
      <c r="G192" s="1259">
        <f t="shared" si="39"/>
        <v>0</v>
      </c>
      <c r="H192" s="1259">
        <f t="shared" si="40"/>
        <v>0</v>
      </c>
      <c r="I192" s="1327">
        <v>0</v>
      </c>
      <c r="J192" s="1327">
        <v>0</v>
      </c>
      <c r="K192" s="1259"/>
      <c r="L192" s="1259"/>
      <c r="M192" s="1259">
        <f t="shared" si="47"/>
        <v>0</v>
      </c>
      <c r="N192" s="1259">
        <f t="shared" si="42"/>
        <v>0</v>
      </c>
      <c r="O192" s="1013"/>
      <c r="P192" s="1013"/>
    </row>
    <row r="193" spans="1:16" ht="15.5" outlineLevel="1" x14ac:dyDescent="0.25">
      <c r="A193" s="1153">
        <f t="shared" si="46"/>
        <v>1</v>
      </c>
      <c r="B193" s="1154" t="str">
        <f t="shared" si="46"/>
        <v>DPR-5</v>
      </c>
      <c r="C193" s="1153" t="str">
        <f t="shared" si="46"/>
        <v>(ii) Yet to be submitted to MERC</v>
      </c>
      <c r="D193" s="1325" t="str">
        <f t="shared" si="46"/>
        <v>-</v>
      </c>
      <c r="E193" s="1326">
        <f t="shared" si="46"/>
        <v>0</v>
      </c>
      <c r="F193" s="1335">
        <f t="shared" si="38"/>
        <v>0</v>
      </c>
      <c r="G193" s="1335">
        <f t="shared" si="39"/>
        <v>0</v>
      </c>
      <c r="H193" s="1335">
        <f t="shared" si="40"/>
        <v>0</v>
      </c>
      <c r="I193" s="1327">
        <v>0</v>
      </c>
      <c r="J193" s="1327">
        <v>0</v>
      </c>
      <c r="K193" s="1335"/>
      <c r="L193" s="1335"/>
      <c r="M193" s="1335">
        <f t="shared" si="47"/>
        <v>0</v>
      </c>
      <c r="N193" s="1335">
        <f t="shared" si="42"/>
        <v>0</v>
      </c>
      <c r="O193" s="1013"/>
      <c r="P193" s="1013"/>
    </row>
    <row r="194" spans="1:16" ht="31" outlineLevel="1" x14ac:dyDescent="0.25">
      <c r="A194" s="1160">
        <f t="shared" si="46"/>
        <v>1.1000000000000001</v>
      </c>
      <c r="B194" s="1328" t="str">
        <f t="shared" si="46"/>
        <v>Supply, erection &amp; commissioning of Digital Governor and DAVR for Panshet HPS under REC, Pune</v>
      </c>
      <c r="C194" s="1160" t="str">
        <f t="shared" si="46"/>
        <v>(ii) Yet to be submitted to MERC</v>
      </c>
      <c r="D194" s="1010" t="str">
        <f t="shared" si="46"/>
        <v>-</v>
      </c>
      <c r="E194" s="1329">
        <f t="shared" si="46"/>
        <v>0</v>
      </c>
      <c r="F194" s="1334">
        <f t="shared" si="38"/>
        <v>0</v>
      </c>
      <c r="G194" s="1334">
        <f t="shared" si="39"/>
        <v>0</v>
      </c>
      <c r="H194" s="1334">
        <f t="shared" si="40"/>
        <v>0</v>
      </c>
      <c r="I194" s="1327">
        <v>4.5</v>
      </c>
      <c r="J194" s="1327">
        <v>4.5</v>
      </c>
      <c r="K194" s="1334"/>
      <c r="L194" s="1334"/>
      <c r="M194" s="1334">
        <f t="shared" si="47"/>
        <v>4.5</v>
      </c>
      <c r="N194" s="1334">
        <f t="shared" si="42"/>
        <v>0</v>
      </c>
      <c r="O194" s="1013"/>
      <c r="P194" s="1013"/>
    </row>
    <row r="195" spans="1:16" ht="31" outlineLevel="1" x14ac:dyDescent="0.25">
      <c r="A195" s="1160">
        <f t="shared" si="46"/>
        <v>1.2</v>
      </c>
      <c r="B195" s="1328" t="str">
        <f t="shared" si="46"/>
        <v xml:space="preserve">Supply, erection &amp; commissioning of Digital Governor, Excitation system (DAVR) at Warana &amp; Dudhganga HPS </v>
      </c>
      <c r="C195" s="1160" t="str">
        <f t="shared" si="46"/>
        <v>(ii) Yet to be submitted to MERC</v>
      </c>
      <c r="D195" s="1010" t="str">
        <f t="shared" si="46"/>
        <v>-</v>
      </c>
      <c r="E195" s="1329">
        <f t="shared" si="46"/>
        <v>0</v>
      </c>
      <c r="F195" s="1334">
        <f t="shared" si="38"/>
        <v>0</v>
      </c>
      <c r="G195" s="1334">
        <f t="shared" si="39"/>
        <v>0</v>
      </c>
      <c r="H195" s="1334">
        <f t="shared" si="40"/>
        <v>0</v>
      </c>
      <c r="I195" s="1327">
        <v>0</v>
      </c>
      <c r="J195" s="1327">
        <v>0</v>
      </c>
      <c r="K195" s="1334"/>
      <c r="L195" s="1334"/>
      <c r="M195" s="1334">
        <f t="shared" si="47"/>
        <v>0</v>
      </c>
      <c r="N195" s="1334">
        <f t="shared" si="42"/>
        <v>0</v>
      </c>
      <c r="O195" s="1013"/>
      <c r="P195" s="1013"/>
    </row>
    <row r="196" spans="1:16" ht="46.5" outlineLevel="1" x14ac:dyDescent="0.25">
      <c r="A196" s="1160">
        <f t="shared" si="46"/>
        <v>1.3</v>
      </c>
      <c r="B196" s="1328" t="str">
        <f t="shared" si="46"/>
        <v>Supply,erection &amp; commissioningof Governor, Excitation System (DAVR) and Autosequencer for Manikdoh, Kanher &amp; Dimbhe HPS.</v>
      </c>
      <c r="C196" s="1160" t="str">
        <f t="shared" si="46"/>
        <v>(ii) Yet to be submitted to MERC</v>
      </c>
      <c r="D196" s="1010" t="str">
        <f t="shared" si="46"/>
        <v>-</v>
      </c>
      <c r="E196" s="1329">
        <f t="shared" si="46"/>
        <v>0</v>
      </c>
      <c r="F196" s="1334">
        <f t="shared" si="38"/>
        <v>0</v>
      </c>
      <c r="G196" s="1334">
        <f t="shared" si="39"/>
        <v>0</v>
      </c>
      <c r="H196" s="1334">
        <f t="shared" si="40"/>
        <v>0</v>
      </c>
      <c r="I196" s="1327">
        <v>0</v>
      </c>
      <c r="J196" s="1327">
        <v>0</v>
      </c>
      <c r="K196" s="1334"/>
      <c r="L196" s="1334"/>
      <c r="M196" s="1334">
        <f t="shared" si="47"/>
        <v>0</v>
      </c>
      <c r="N196" s="1334">
        <f t="shared" si="42"/>
        <v>0</v>
      </c>
      <c r="O196" s="1013"/>
      <c r="P196" s="1013"/>
    </row>
    <row r="197" spans="1:16" ht="31" outlineLevel="1" x14ac:dyDescent="0.25">
      <c r="A197" s="1160">
        <f t="shared" si="46"/>
        <v>1.4</v>
      </c>
      <c r="B197" s="1328" t="str">
        <f t="shared" si="46"/>
        <v>Supply, erection &amp; commissioning of Digital Governor Pawana &amp; Varasgaon HPS</v>
      </c>
      <c r="C197" s="1160" t="str">
        <f t="shared" si="46"/>
        <v>(ii) Yet to be submitted to MERC</v>
      </c>
      <c r="D197" s="1010" t="str">
        <f t="shared" si="46"/>
        <v>-</v>
      </c>
      <c r="E197" s="1329">
        <f t="shared" si="46"/>
        <v>0</v>
      </c>
      <c r="F197" s="1334">
        <f t="shared" si="38"/>
        <v>0</v>
      </c>
      <c r="G197" s="1334">
        <f t="shared" si="39"/>
        <v>0</v>
      </c>
      <c r="H197" s="1334">
        <f t="shared" si="40"/>
        <v>0</v>
      </c>
      <c r="I197" s="1327">
        <v>6.74</v>
      </c>
      <c r="J197" s="1327">
        <v>6.74</v>
      </c>
      <c r="K197" s="1334"/>
      <c r="L197" s="1334"/>
      <c r="M197" s="1334">
        <f t="shared" si="47"/>
        <v>6.74</v>
      </c>
      <c r="N197" s="1334">
        <f t="shared" si="42"/>
        <v>0</v>
      </c>
      <c r="O197" s="1013"/>
      <c r="P197" s="1013"/>
    </row>
    <row r="198" spans="1:16" ht="46.5" outlineLevel="1" x14ac:dyDescent="0.25">
      <c r="A198" s="1160">
        <f t="shared" si="46"/>
        <v>1.5</v>
      </c>
      <c r="B198" s="1328" t="str">
        <f t="shared" si="46"/>
        <v>Upgradation of Protection system for Generator and Generator transformer at bhatghar,Dudhganga,Ujani,Warana,Kanher &amp; Dhom</v>
      </c>
      <c r="C198" s="1160" t="str">
        <f t="shared" si="46"/>
        <v>(ii) Yet to be submitted to MERC</v>
      </c>
      <c r="D198" s="1010" t="str">
        <f t="shared" si="46"/>
        <v>-</v>
      </c>
      <c r="E198" s="1329">
        <f t="shared" si="46"/>
        <v>0</v>
      </c>
      <c r="F198" s="1334">
        <f t="shared" si="38"/>
        <v>0</v>
      </c>
      <c r="G198" s="1334">
        <f t="shared" si="39"/>
        <v>0</v>
      </c>
      <c r="H198" s="1334">
        <f t="shared" si="40"/>
        <v>0</v>
      </c>
      <c r="I198" s="1327">
        <v>7.22</v>
      </c>
      <c r="J198" s="1327">
        <v>7.22</v>
      </c>
      <c r="K198" s="1334"/>
      <c r="L198" s="1334"/>
      <c r="M198" s="1334">
        <f t="shared" si="47"/>
        <v>7.22</v>
      </c>
      <c r="N198" s="1334">
        <f t="shared" si="42"/>
        <v>0</v>
      </c>
      <c r="O198" s="1013"/>
      <c r="P198" s="1013"/>
    </row>
    <row r="199" spans="1:16" ht="15.5" outlineLevel="1" x14ac:dyDescent="0.25">
      <c r="A199" s="1160">
        <f t="shared" si="46"/>
        <v>0</v>
      </c>
      <c r="B199" s="1328" t="str">
        <f t="shared" si="46"/>
        <v>DPR-6</v>
      </c>
      <c r="C199" s="1160">
        <f t="shared" si="46"/>
        <v>0</v>
      </c>
      <c r="D199" s="1010" t="str">
        <f t="shared" si="46"/>
        <v>-</v>
      </c>
      <c r="E199" s="1329">
        <f t="shared" si="46"/>
        <v>0</v>
      </c>
      <c r="F199" s="1334">
        <f t="shared" si="38"/>
        <v>0</v>
      </c>
      <c r="G199" s="1334">
        <f t="shared" si="39"/>
        <v>0</v>
      </c>
      <c r="H199" s="1334">
        <f t="shared" si="40"/>
        <v>0</v>
      </c>
      <c r="I199" s="1327">
        <v>0</v>
      </c>
      <c r="J199" s="1327">
        <v>0</v>
      </c>
      <c r="K199" s="1334"/>
      <c r="L199" s="1334"/>
      <c r="M199" s="1334">
        <f t="shared" si="47"/>
        <v>0</v>
      </c>
      <c r="N199" s="1334">
        <f t="shared" si="42"/>
        <v>0</v>
      </c>
      <c r="O199" s="1013"/>
      <c r="P199" s="1013"/>
    </row>
    <row r="200" spans="1:16" ht="15.5" outlineLevel="1" x14ac:dyDescent="0.25">
      <c r="A200" s="1153">
        <f t="shared" si="46"/>
        <v>0</v>
      </c>
      <c r="B200" s="1154" t="str">
        <f t="shared" si="46"/>
        <v>Synchronising &amp; Line Breakers at HPS under REC, Pune</v>
      </c>
      <c r="C200" s="1160" t="str">
        <f t="shared" si="46"/>
        <v>(ii) Yet to be submitted to MERC</v>
      </c>
      <c r="D200" s="1325" t="str">
        <f t="shared" si="46"/>
        <v>-</v>
      </c>
      <c r="E200" s="1326">
        <f t="shared" si="46"/>
        <v>0</v>
      </c>
      <c r="F200" s="1335">
        <f t="shared" si="38"/>
        <v>0</v>
      </c>
      <c r="G200" s="1335">
        <f t="shared" si="39"/>
        <v>0</v>
      </c>
      <c r="H200" s="1335">
        <f t="shared" si="40"/>
        <v>0</v>
      </c>
      <c r="I200" s="1327">
        <v>0</v>
      </c>
      <c r="J200" s="1327">
        <v>0</v>
      </c>
      <c r="K200" s="1335"/>
      <c r="L200" s="1335"/>
      <c r="M200" s="1335">
        <f t="shared" si="47"/>
        <v>0</v>
      </c>
      <c r="N200" s="1335">
        <f t="shared" si="42"/>
        <v>0</v>
      </c>
      <c r="O200" s="1013"/>
      <c r="P200" s="1013"/>
    </row>
    <row r="201" spans="1:16" ht="31" outlineLevel="1" x14ac:dyDescent="0.25">
      <c r="A201" s="1160">
        <f t="shared" ref="A201:E216" si="48">A148</f>
        <v>0</v>
      </c>
      <c r="B201" s="1328" t="str">
        <f t="shared" si="48"/>
        <v>Digital Governor, Excitation (DAVR) with Auto sequencer at Ujjani HPS</v>
      </c>
      <c r="C201" s="1160" t="str">
        <f t="shared" si="48"/>
        <v>(ii) Yet to be submitted to MERC</v>
      </c>
      <c r="D201" s="1010" t="str">
        <f t="shared" si="48"/>
        <v>-</v>
      </c>
      <c r="E201" s="1329">
        <f t="shared" si="48"/>
        <v>0</v>
      </c>
      <c r="F201" s="1334">
        <f t="shared" si="38"/>
        <v>0</v>
      </c>
      <c r="G201" s="1334">
        <f t="shared" si="39"/>
        <v>0</v>
      </c>
      <c r="H201" s="1334">
        <f t="shared" si="40"/>
        <v>0</v>
      </c>
      <c r="I201" s="1327">
        <v>0</v>
      </c>
      <c r="J201" s="1327">
        <v>0</v>
      </c>
      <c r="K201" s="1334"/>
      <c r="L201" s="1334"/>
      <c r="M201" s="1334">
        <f t="shared" si="47"/>
        <v>0</v>
      </c>
      <c r="N201" s="1334">
        <f t="shared" si="42"/>
        <v>0</v>
      </c>
      <c r="O201" s="1013"/>
      <c r="P201" s="1013"/>
    </row>
    <row r="202" spans="1:16" ht="31" outlineLevel="1" x14ac:dyDescent="0.25">
      <c r="A202" s="1160">
        <f t="shared" si="48"/>
        <v>0</v>
      </c>
      <c r="B202" s="1328" t="str">
        <f t="shared" si="48"/>
        <v>Supply of station battery sets at Panshet, Varasgaon, Pawana, Dhom, Terwanmedhe</v>
      </c>
      <c r="C202" s="1160" t="str">
        <f t="shared" si="48"/>
        <v>(ii) Yet to be submitted to MERC</v>
      </c>
      <c r="D202" s="1010" t="str">
        <f t="shared" si="48"/>
        <v>-</v>
      </c>
      <c r="E202" s="1329">
        <f t="shared" si="48"/>
        <v>0</v>
      </c>
      <c r="F202" s="1334">
        <f t="shared" si="38"/>
        <v>0</v>
      </c>
      <c r="G202" s="1334">
        <f t="shared" si="39"/>
        <v>0</v>
      </c>
      <c r="H202" s="1334">
        <f t="shared" si="40"/>
        <v>0</v>
      </c>
      <c r="I202" s="1327">
        <v>0</v>
      </c>
      <c r="J202" s="1327">
        <v>0</v>
      </c>
      <c r="K202" s="1334"/>
      <c r="L202" s="1334"/>
      <c r="M202" s="1334">
        <f t="shared" si="47"/>
        <v>0</v>
      </c>
      <c r="N202" s="1334">
        <f t="shared" si="42"/>
        <v>0</v>
      </c>
    </row>
    <row r="203" spans="1:16" ht="31" outlineLevel="1" x14ac:dyDescent="0.25">
      <c r="A203" s="1160">
        <f t="shared" si="48"/>
        <v>0</v>
      </c>
      <c r="B203" s="1328" t="str">
        <f t="shared" si="48"/>
        <v>Digital Governor, Excitation (DAVR) with Auto sequencer at Dhom HPS</v>
      </c>
      <c r="C203" s="1160" t="str">
        <f t="shared" si="48"/>
        <v>(ii) Yet to be submitted to MERC</v>
      </c>
      <c r="D203" s="1010" t="str">
        <f t="shared" si="48"/>
        <v>-</v>
      </c>
      <c r="E203" s="1329">
        <f t="shared" si="48"/>
        <v>0</v>
      </c>
      <c r="F203" s="1334">
        <f t="shared" si="38"/>
        <v>0</v>
      </c>
      <c r="G203" s="1334">
        <f t="shared" si="39"/>
        <v>0</v>
      </c>
      <c r="H203" s="1334">
        <f t="shared" si="40"/>
        <v>0</v>
      </c>
      <c r="I203" s="1327">
        <v>0</v>
      </c>
      <c r="J203" s="1327">
        <v>0</v>
      </c>
      <c r="K203" s="1334"/>
      <c r="L203" s="1334"/>
      <c r="M203" s="1334">
        <f t="shared" si="47"/>
        <v>0</v>
      </c>
      <c r="N203" s="1334">
        <f t="shared" si="42"/>
        <v>0</v>
      </c>
    </row>
    <row r="204" spans="1:16" ht="15.5" outlineLevel="1" x14ac:dyDescent="0.25">
      <c r="A204" s="1160">
        <f t="shared" si="48"/>
        <v>0</v>
      </c>
      <c r="B204" s="1328" t="str">
        <f t="shared" si="48"/>
        <v>R &amp; M of Bhatghar HPS</v>
      </c>
      <c r="C204" s="1160" t="str">
        <f t="shared" si="48"/>
        <v>(ii) Yet to be submitted to MERC</v>
      </c>
      <c r="D204" s="1010" t="str">
        <f t="shared" si="48"/>
        <v>-</v>
      </c>
      <c r="E204" s="1329">
        <f t="shared" si="48"/>
        <v>0</v>
      </c>
      <c r="F204" s="1334">
        <f t="shared" si="38"/>
        <v>0</v>
      </c>
      <c r="G204" s="1334">
        <f t="shared" si="39"/>
        <v>0</v>
      </c>
      <c r="H204" s="1334">
        <f t="shared" si="40"/>
        <v>0</v>
      </c>
      <c r="I204" s="1327">
        <v>0</v>
      </c>
      <c r="J204" s="1327">
        <v>0</v>
      </c>
      <c r="K204" s="1334"/>
      <c r="L204" s="1334"/>
      <c r="M204" s="1334">
        <f t="shared" si="47"/>
        <v>0</v>
      </c>
      <c r="N204" s="1334">
        <f t="shared" si="42"/>
        <v>0</v>
      </c>
    </row>
    <row r="205" spans="1:16" ht="15.5" outlineLevel="1" x14ac:dyDescent="0.25">
      <c r="A205" s="1160">
        <f t="shared" si="48"/>
        <v>1.7</v>
      </c>
      <c r="B205" s="1328" t="str">
        <f t="shared" si="48"/>
        <v>DPR-8</v>
      </c>
      <c r="C205" s="1160">
        <f t="shared" si="48"/>
        <v>0</v>
      </c>
      <c r="D205" s="1010" t="str">
        <f t="shared" si="48"/>
        <v>-</v>
      </c>
      <c r="E205" s="1329">
        <f t="shared" si="48"/>
        <v>0</v>
      </c>
      <c r="F205" s="1334">
        <f t="shared" si="38"/>
        <v>0</v>
      </c>
      <c r="G205" s="1334">
        <f t="shared" si="39"/>
        <v>0</v>
      </c>
      <c r="H205" s="1334">
        <f t="shared" si="40"/>
        <v>0</v>
      </c>
      <c r="I205" s="1327">
        <v>0</v>
      </c>
      <c r="J205" s="1327">
        <v>0</v>
      </c>
      <c r="K205" s="1334"/>
      <c r="L205" s="1334"/>
      <c r="M205" s="1334">
        <f t="shared" si="47"/>
        <v>0</v>
      </c>
      <c r="N205" s="1334">
        <f t="shared" si="42"/>
        <v>0</v>
      </c>
    </row>
    <row r="206" spans="1:16" ht="31" outlineLevel="1" x14ac:dyDescent="0.25">
      <c r="A206" s="1160">
        <f t="shared" si="48"/>
        <v>0</v>
      </c>
      <c r="B206" s="1328" t="str">
        <f t="shared" si="48"/>
        <v>Gen. transformers for Dudhganga, Warana, Ujjani, Panshet, Varasgaon &amp; Pawana HPS</v>
      </c>
      <c r="C206" s="1160" t="str">
        <f t="shared" si="48"/>
        <v>(ii) Yet to be submitted to MERC</v>
      </c>
      <c r="D206" s="1010" t="str">
        <f t="shared" si="48"/>
        <v>-</v>
      </c>
      <c r="E206" s="1329">
        <f t="shared" si="48"/>
        <v>0</v>
      </c>
      <c r="F206" s="1334">
        <f t="shared" si="38"/>
        <v>0</v>
      </c>
      <c r="G206" s="1334">
        <f t="shared" si="39"/>
        <v>0</v>
      </c>
      <c r="H206" s="1334">
        <f t="shared" si="40"/>
        <v>0</v>
      </c>
      <c r="I206" s="1327">
        <v>0</v>
      </c>
      <c r="J206" s="1327">
        <v>0</v>
      </c>
      <c r="K206" s="1334"/>
      <c r="L206" s="1334"/>
      <c r="M206" s="1334">
        <f t="shared" si="47"/>
        <v>0</v>
      </c>
      <c r="N206" s="1334">
        <f t="shared" si="42"/>
        <v>0</v>
      </c>
    </row>
    <row r="207" spans="1:16" ht="15.5" outlineLevel="1" x14ac:dyDescent="0.25">
      <c r="A207" s="1160">
        <f t="shared" si="48"/>
        <v>0</v>
      </c>
      <c r="B207" s="1328">
        <f t="shared" si="48"/>
        <v>0</v>
      </c>
      <c r="C207" s="1160">
        <f t="shared" si="48"/>
        <v>0</v>
      </c>
      <c r="D207" s="1010" t="str">
        <f t="shared" si="48"/>
        <v>-</v>
      </c>
      <c r="E207" s="1329">
        <f t="shared" si="48"/>
        <v>0</v>
      </c>
      <c r="F207" s="1334">
        <f t="shared" si="38"/>
        <v>0</v>
      </c>
      <c r="G207" s="1334">
        <f t="shared" si="39"/>
        <v>0</v>
      </c>
      <c r="H207" s="1334">
        <f t="shared" si="40"/>
        <v>0</v>
      </c>
      <c r="I207" s="1327">
        <v>0</v>
      </c>
      <c r="J207" s="1327">
        <v>0</v>
      </c>
      <c r="K207" s="1334"/>
      <c r="L207" s="1334"/>
      <c r="M207" s="1334">
        <f t="shared" si="47"/>
        <v>0</v>
      </c>
      <c r="N207" s="1334">
        <f t="shared" si="42"/>
        <v>0</v>
      </c>
    </row>
    <row r="208" spans="1:16" ht="15.5" outlineLevel="1" x14ac:dyDescent="0.25">
      <c r="A208" s="1011">
        <f t="shared" si="48"/>
        <v>0</v>
      </c>
      <c r="B208" s="1012" t="str">
        <f t="shared" si="48"/>
        <v>B) Non-DPR Schemes</v>
      </c>
      <c r="C208" s="1011">
        <f t="shared" si="48"/>
        <v>0</v>
      </c>
      <c r="D208" s="1010" t="str">
        <f t="shared" si="48"/>
        <v>-</v>
      </c>
      <c r="E208" s="1330">
        <f t="shared" si="48"/>
        <v>0</v>
      </c>
      <c r="F208" s="1259">
        <f t="shared" si="38"/>
        <v>0</v>
      </c>
      <c r="G208" s="1259">
        <f t="shared" si="39"/>
        <v>0</v>
      </c>
      <c r="H208" s="1259">
        <f t="shared" si="40"/>
        <v>0</v>
      </c>
      <c r="I208" s="1327">
        <v>0</v>
      </c>
      <c r="J208" s="1327">
        <v>0</v>
      </c>
      <c r="K208" s="1259"/>
      <c r="L208" s="1259"/>
      <c r="M208" s="1259">
        <f t="shared" si="47"/>
        <v>0</v>
      </c>
      <c r="N208" s="1259">
        <f t="shared" si="42"/>
        <v>0</v>
      </c>
    </row>
    <row r="209" spans="1:17" ht="31" outlineLevel="1" x14ac:dyDescent="0.25">
      <c r="A209" s="1160">
        <f t="shared" si="48"/>
        <v>1</v>
      </c>
      <c r="B209" s="1328" t="str">
        <f t="shared" si="48"/>
        <v>Replacement of 220V/300 AH Tubular type Battery Set at Manikdoh HPS</v>
      </c>
      <c r="C209" s="1160" t="str">
        <f t="shared" si="48"/>
        <v>N.A.</v>
      </c>
      <c r="D209" s="1010" t="str">
        <f t="shared" si="48"/>
        <v>-</v>
      </c>
      <c r="E209" s="1329">
        <f t="shared" si="48"/>
        <v>0</v>
      </c>
      <c r="F209" s="1334">
        <f t="shared" si="38"/>
        <v>0.1138</v>
      </c>
      <c r="G209" s="1334">
        <f t="shared" si="39"/>
        <v>0.1138</v>
      </c>
      <c r="H209" s="1334">
        <f t="shared" si="40"/>
        <v>0</v>
      </c>
      <c r="I209" s="1327">
        <v>0</v>
      </c>
      <c r="J209" s="1327">
        <v>0</v>
      </c>
      <c r="K209" s="1334"/>
      <c r="L209" s="1334"/>
      <c r="M209" s="1334">
        <f t="shared" si="47"/>
        <v>0</v>
      </c>
      <c r="N209" s="1334">
        <f t="shared" si="42"/>
        <v>0</v>
      </c>
    </row>
    <row r="210" spans="1:17" ht="31" outlineLevel="1" x14ac:dyDescent="0.25">
      <c r="A210" s="1160">
        <f t="shared" si="48"/>
        <v>2</v>
      </c>
      <c r="B210" s="1328" t="str">
        <f t="shared" si="48"/>
        <v>Replacement of existing AVR by DAVR for Static Excitation System at Pawana HPS.</v>
      </c>
      <c r="C210" s="1160" t="str">
        <f t="shared" si="48"/>
        <v>N.A.</v>
      </c>
      <c r="D210" s="1010" t="str">
        <f t="shared" si="48"/>
        <v>-</v>
      </c>
      <c r="E210" s="1329">
        <f t="shared" si="48"/>
        <v>0</v>
      </c>
      <c r="F210" s="1334">
        <f t="shared" si="38"/>
        <v>1.01</v>
      </c>
      <c r="G210" s="1334">
        <f t="shared" si="39"/>
        <v>1.01</v>
      </c>
      <c r="H210" s="1334">
        <f t="shared" si="40"/>
        <v>0</v>
      </c>
      <c r="I210" s="1327">
        <v>0</v>
      </c>
      <c r="J210" s="1327">
        <v>0</v>
      </c>
      <c r="K210" s="1334"/>
      <c r="L210" s="1334"/>
      <c r="M210" s="1334">
        <f t="shared" si="47"/>
        <v>0</v>
      </c>
      <c r="N210" s="1334">
        <f t="shared" si="42"/>
        <v>0</v>
      </c>
    </row>
    <row r="211" spans="1:17" ht="15.5" outlineLevel="1" x14ac:dyDescent="0.25">
      <c r="A211" s="1160">
        <f t="shared" si="48"/>
        <v>3</v>
      </c>
      <c r="B211" s="1328" t="str">
        <f t="shared" si="48"/>
        <v>Retrofitting of 415 V LT Breakers at Kanher &amp; Dhom HPS.</v>
      </c>
      <c r="C211" s="1160" t="str">
        <f t="shared" si="48"/>
        <v>N.A.</v>
      </c>
      <c r="D211" s="1010" t="str">
        <f t="shared" si="48"/>
        <v>-</v>
      </c>
      <c r="E211" s="1329">
        <f t="shared" si="48"/>
        <v>0</v>
      </c>
      <c r="F211" s="1334">
        <f t="shared" si="38"/>
        <v>9.8743800000000007E-2</v>
      </c>
      <c r="G211" s="1334">
        <f t="shared" si="39"/>
        <v>9.8743800000000007E-2</v>
      </c>
      <c r="H211" s="1334">
        <f t="shared" si="40"/>
        <v>0</v>
      </c>
      <c r="I211" s="1327">
        <v>0</v>
      </c>
      <c r="J211" s="1327">
        <v>0</v>
      </c>
      <c r="K211" s="1334"/>
      <c r="L211" s="1334"/>
      <c r="M211" s="1334">
        <f t="shared" si="47"/>
        <v>0</v>
      </c>
      <c r="N211" s="1334">
        <f t="shared" si="42"/>
        <v>0</v>
      </c>
    </row>
    <row r="212" spans="1:17" ht="15.5" outlineLevel="1" x14ac:dyDescent="0.25">
      <c r="A212" s="1160">
        <f t="shared" si="48"/>
        <v>4</v>
      </c>
      <c r="B212" s="1328" t="str">
        <f t="shared" si="48"/>
        <v>Furniture &amp; Fixture General Asset</v>
      </c>
      <c r="C212" s="1160" t="str">
        <f t="shared" si="48"/>
        <v>N.A.</v>
      </c>
      <c r="D212" s="1010" t="str">
        <f t="shared" si="48"/>
        <v>-</v>
      </c>
      <c r="E212" s="1329">
        <f t="shared" si="48"/>
        <v>0</v>
      </c>
      <c r="F212" s="1334">
        <f t="shared" si="38"/>
        <v>1.0676536210000001</v>
      </c>
      <c r="G212" s="1334">
        <f t="shared" si="39"/>
        <v>1.0676536210000001</v>
      </c>
      <c r="H212" s="1334">
        <f t="shared" si="40"/>
        <v>0</v>
      </c>
      <c r="I212" s="1327">
        <v>0</v>
      </c>
      <c r="J212" s="1327">
        <v>0</v>
      </c>
      <c r="K212" s="1334"/>
      <c r="L212" s="1334"/>
      <c r="M212" s="1334">
        <f t="shared" si="47"/>
        <v>0</v>
      </c>
      <c r="N212" s="1334">
        <f t="shared" si="42"/>
        <v>0</v>
      </c>
    </row>
    <row r="213" spans="1:17" ht="15.5" outlineLevel="1" x14ac:dyDescent="0.25">
      <c r="A213" s="1160">
        <f t="shared" si="48"/>
        <v>5</v>
      </c>
      <c r="B213" s="1328" t="str">
        <f t="shared" si="48"/>
        <v>Electrical General Asset</v>
      </c>
      <c r="C213" s="1160" t="str">
        <f t="shared" si="48"/>
        <v>N.A.</v>
      </c>
      <c r="D213" s="1010" t="str">
        <f t="shared" si="48"/>
        <v>-</v>
      </c>
      <c r="E213" s="1329">
        <f t="shared" si="48"/>
        <v>0</v>
      </c>
      <c r="F213" s="1334">
        <f t="shared" si="38"/>
        <v>0.19467927899999998</v>
      </c>
      <c r="G213" s="1334">
        <f t="shared" si="39"/>
        <v>0.19467927899999998</v>
      </c>
      <c r="H213" s="1334">
        <f t="shared" si="40"/>
        <v>0</v>
      </c>
      <c r="I213" s="1327">
        <v>0</v>
      </c>
      <c r="J213" s="1327">
        <v>0</v>
      </c>
      <c r="K213" s="1334"/>
      <c r="L213" s="1334"/>
      <c r="M213" s="1334">
        <f t="shared" si="47"/>
        <v>0</v>
      </c>
      <c r="N213" s="1334">
        <f t="shared" si="42"/>
        <v>0</v>
      </c>
    </row>
    <row r="214" spans="1:17" ht="15.5" outlineLevel="1" x14ac:dyDescent="0.25">
      <c r="A214" s="1160">
        <f t="shared" si="48"/>
        <v>6</v>
      </c>
      <c r="B214" s="1328" t="str">
        <f t="shared" si="48"/>
        <v>Electronics General Asset</v>
      </c>
      <c r="C214" s="1160" t="str">
        <f t="shared" si="48"/>
        <v>N.A.</v>
      </c>
      <c r="D214" s="1010" t="str">
        <f t="shared" si="48"/>
        <v>-</v>
      </c>
      <c r="E214" s="1329">
        <f t="shared" si="48"/>
        <v>0</v>
      </c>
      <c r="F214" s="1334">
        <f t="shared" si="38"/>
        <v>0.27661271500000001</v>
      </c>
      <c r="G214" s="1334">
        <f t="shared" si="39"/>
        <v>0.27661271500000001</v>
      </c>
      <c r="H214" s="1334">
        <f t="shared" si="40"/>
        <v>0</v>
      </c>
      <c r="I214" s="1327">
        <v>0</v>
      </c>
      <c r="J214" s="1327">
        <v>0</v>
      </c>
      <c r="K214" s="1334"/>
      <c r="L214" s="1334"/>
      <c r="M214" s="1334">
        <f t="shared" si="47"/>
        <v>0</v>
      </c>
      <c r="N214" s="1334">
        <f t="shared" si="42"/>
        <v>0</v>
      </c>
    </row>
    <row r="215" spans="1:17" ht="15.5" outlineLevel="1" x14ac:dyDescent="0.25">
      <c r="A215" s="1160">
        <f t="shared" si="48"/>
        <v>7</v>
      </c>
      <c r="B215" s="1328" t="str">
        <f t="shared" si="48"/>
        <v>Vehicle General Asset</v>
      </c>
      <c r="C215" s="1160" t="str">
        <f t="shared" si="48"/>
        <v>N.A.</v>
      </c>
      <c r="D215" s="1010" t="str">
        <f t="shared" si="48"/>
        <v>-</v>
      </c>
      <c r="E215" s="1329">
        <f t="shared" si="48"/>
        <v>0</v>
      </c>
      <c r="F215" s="1334">
        <f t="shared" si="38"/>
        <v>0.17288522700000003</v>
      </c>
      <c r="G215" s="1334">
        <f t="shared" si="39"/>
        <v>0.17288522700000003</v>
      </c>
      <c r="H215" s="1334">
        <f t="shared" si="40"/>
        <v>0</v>
      </c>
      <c r="I215" s="1327">
        <v>0</v>
      </c>
      <c r="J215" s="1327">
        <v>0</v>
      </c>
      <c r="K215" s="1334"/>
      <c r="L215" s="1334"/>
      <c r="M215" s="1334">
        <f t="shared" si="47"/>
        <v>0</v>
      </c>
      <c r="N215" s="1334">
        <f t="shared" si="42"/>
        <v>0</v>
      </c>
    </row>
    <row r="216" spans="1:17" ht="31.5" outlineLevel="1" thickBot="1" x14ac:dyDescent="0.3">
      <c r="A216" s="1160">
        <f t="shared" si="48"/>
        <v>8</v>
      </c>
      <c r="B216" s="1328" t="str">
        <f t="shared" si="48"/>
        <v>Numerical protection system at Pawana Hydro Power Station</v>
      </c>
      <c r="C216" s="1160" t="str">
        <f t="shared" si="48"/>
        <v>N.A.</v>
      </c>
      <c r="D216" s="1010" t="str">
        <f t="shared" si="48"/>
        <v>-</v>
      </c>
      <c r="E216" s="1329">
        <f t="shared" si="48"/>
        <v>0</v>
      </c>
      <c r="F216" s="1334">
        <f t="shared" si="38"/>
        <v>0.33023999999999998</v>
      </c>
      <c r="G216" s="1334">
        <f t="shared" si="39"/>
        <v>0.33023999999999998</v>
      </c>
      <c r="H216" s="1334">
        <f t="shared" si="40"/>
        <v>0</v>
      </c>
      <c r="I216" s="1327">
        <v>0</v>
      </c>
      <c r="J216" s="1327">
        <v>0</v>
      </c>
      <c r="K216" s="1334"/>
      <c r="L216" s="1334"/>
      <c r="M216" s="1334">
        <f t="shared" si="47"/>
        <v>0</v>
      </c>
      <c r="N216" s="1334">
        <f t="shared" si="42"/>
        <v>0</v>
      </c>
    </row>
    <row r="217" spans="1:17" ht="16" thickBot="1" x14ac:dyDescent="0.3">
      <c r="A217" s="1009"/>
      <c r="B217" s="1008" t="str">
        <f t="shared" ref="B217" si="49">B164</f>
        <v>Total</v>
      </c>
      <c r="C217" s="1007"/>
      <c r="D217" s="1006"/>
      <c r="E217" s="1331"/>
      <c r="F217" s="1332">
        <f>SUM(F169:F216)</f>
        <v>35.470505660999997</v>
      </c>
      <c r="G217" s="1332">
        <f>SUM(G169:G216)</f>
        <v>23.400950941000001</v>
      </c>
      <c r="H217" s="1332">
        <f>SUM(H169:H216)</f>
        <v>12.069554720000001</v>
      </c>
      <c r="I217" s="1332">
        <f>SUM(I169:I216)</f>
        <v>18.940000000000001</v>
      </c>
      <c r="J217" s="1332">
        <f>SUM(J169:J216)</f>
        <v>18.940000000000001</v>
      </c>
      <c r="K217" s="1332">
        <f t="shared" ref="K217:N217" si="50">SUM(K169:K216)</f>
        <v>0</v>
      </c>
      <c r="L217" s="1332">
        <f t="shared" si="50"/>
        <v>0</v>
      </c>
      <c r="M217" s="1332">
        <f t="shared" si="50"/>
        <v>18.940000000000001</v>
      </c>
      <c r="N217" s="1332">
        <f t="shared" si="50"/>
        <v>12.069554720000001</v>
      </c>
    </row>
    <row r="218" spans="1:17" ht="15.5" x14ac:dyDescent="0.25">
      <c r="A218" s="1013"/>
      <c r="B218" s="1021"/>
      <c r="C218" s="1020"/>
      <c r="D218" s="1019"/>
      <c r="E218" s="1312"/>
      <c r="F218" s="1333"/>
      <c r="G218" s="1333"/>
      <c r="H218" s="1333"/>
      <c r="I218" s="1333"/>
      <c r="J218" s="1333"/>
      <c r="K218" s="1333"/>
      <c r="L218" s="1333"/>
      <c r="M218" s="1333"/>
      <c r="N218" s="1333"/>
    </row>
    <row r="219" spans="1:17" s="1013" customFormat="1" ht="15.5" x14ac:dyDescent="0.25">
      <c r="A219" s="1319"/>
      <c r="B219" s="1018" t="s">
        <v>941</v>
      </c>
      <c r="C219" s="1320"/>
      <c r="D219" s="1321"/>
      <c r="E219" s="1322"/>
      <c r="F219" s="1211"/>
      <c r="G219" s="1211"/>
      <c r="H219" s="1211"/>
      <c r="I219" s="1211"/>
      <c r="J219" s="1211"/>
      <c r="K219" s="1211"/>
      <c r="L219" s="1211"/>
      <c r="M219" s="1211"/>
      <c r="N219" s="1211"/>
    </row>
    <row r="220" spans="1:17" ht="15.5" outlineLevel="1" x14ac:dyDescent="0.35">
      <c r="A220" s="1319"/>
      <c r="B220" s="1017" t="str">
        <f t="shared" ref="B220:E235" si="51">B167</f>
        <v>a) DPR Schemes</v>
      </c>
      <c r="C220" s="1320"/>
      <c r="D220" s="1321"/>
      <c r="E220" s="1322"/>
      <c r="F220" s="1211"/>
      <c r="G220" s="1211"/>
      <c r="H220" s="1211"/>
      <c r="I220" s="1211"/>
      <c r="J220" s="1211"/>
      <c r="K220" s="1211"/>
      <c r="L220" s="1211"/>
      <c r="M220" s="1211"/>
      <c r="N220" s="1211"/>
      <c r="O220" s="1013"/>
      <c r="P220" s="1013"/>
    </row>
    <row r="221" spans="1:17" ht="15.5" outlineLevel="1" x14ac:dyDescent="0.25">
      <c r="A221" s="1150"/>
      <c r="B221" s="1150" t="str">
        <f t="shared" si="51"/>
        <v>(i) Submitted to MERC</v>
      </c>
      <c r="C221" s="1323"/>
      <c r="D221" s="1324"/>
      <c r="E221" s="1322"/>
      <c r="F221" s="1211"/>
      <c r="G221" s="1211"/>
      <c r="H221" s="1211"/>
      <c r="I221" s="1211"/>
      <c r="J221" s="1211"/>
      <c r="K221" s="1211"/>
      <c r="L221" s="1211"/>
      <c r="M221" s="1211"/>
      <c r="N221" s="1211"/>
      <c r="O221" s="1013"/>
      <c r="P221" s="1013"/>
    </row>
    <row r="222" spans="1:17" s="1013" customFormat="1" ht="31" outlineLevel="1" x14ac:dyDescent="0.25">
      <c r="A222" s="1153">
        <f t="shared" ref="A222:E237" si="52">A169</f>
        <v>2</v>
      </c>
      <c r="B222" s="1154" t="str">
        <f t="shared" si="51"/>
        <v>Various schemes of Hydro Power Stations at HPC Pune &amp; HPC Nasik</v>
      </c>
      <c r="C222" s="1153" t="str">
        <f t="shared" si="51"/>
        <v>MERC/TECH 12/CAPEX/20142015/00876</v>
      </c>
      <c r="D222" s="1325">
        <f t="shared" si="51"/>
        <v>41871</v>
      </c>
      <c r="E222" s="1326">
        <f t="shared" si="51"/>
        <v>1.5511999999999999</v>
      </c>
      <c r="F222" s="1327">
        <f t="shared" ref="F222:F269" si="53">F169+I169</f>
        <v>0</v>
      </c>
      <c r="G222" s="1327">
        <f t="shared" ref="G222:G269" si="54">G169+M169</f>
        <v>0</v>
      </c>
      <c r="H222" s="1327">
        <f t="shared" ref="H222:H269" si="55">F222-G222</f>
        <v>0</v>
      </c>
      <c r="I222" s="1327">
        <v>0</v>
      </c>
      <c r="J222" s="1327">
        <v>0</v>
      </c>
      <c r="K222" s="1327"/>
      <c r="L222" s="1327"/>
      <c r="M222" s="1327">
        <f t="shared" ref="M222" si="56">SUM(J222:L222)</f>
        <v>0</v>
      </c>
      <c r="N222" s="1327">
        <f t="shared" ref="N222:N269" si="57">H222+I222-M222</f>
        <v>0</v>
      </c>
      <c r="O222" s="1159">
        <f t="shared" ref="O222:O244" si="58">MAX(0,IF(M222=0,0,IF(G222+M222&lt;E222,M222,E222-G222)))</f>
        <v>0</v>
      </c>
      <c r="P222" s="1014">
        <f t="shared" ref="P222:P244" si="59">M222-O222</f>
        <v>0</v>
      </c>
    </row>
    <row r="223" spans="1:17" ht="31" outlineLevel="1" x14ac:dyDescent="0.25">
      <c r="A223" s="1160">
        <f t="shared" si="52"/>
        <v>2.4</v>
      </c>
      <c r="B223" s="1328" t="str">
        <f t="shared" si="51"/>
        <v>Replacement of existing AVR by SEE DVR system for Varasgaon Hydro Power Station.</v>
      </c>
      <c r="C223" s="1160" t="str">
        <f t="shared" si="51"/>
        <v>MERC/TECH 12/CAPEX/20142015/00876</v>
      </c>
      <c r="D223" s="1010">
        <f t="shared" si="51"/>
        <v>41871</v>
      </c>
      <c r="E223" s="1329">
        <f t="shared" si="51"/>
        <v>0.52</v>
      </c>
      <c r="F223" s="1334">
        <f t="shared" si="53"/>
        <v>0.30932749999999998</v>
      </c>
      <c r="G223" s="1334">
        <f t="shared" si="54"/>
        <v>0.30932749999999998</v>
      </c>
      <c r="H223" s="1334">
        <f t="shared" si="55"/>
        <v>0</v>
      </c>
      <c r="I223" s="1327">
        <v>0</v>
      </c>
      <c r="J223" s="1327">
        <v>0</v>
      </c>
      <c r="K223" s="1334"/>
      <c r="L223" s="1334"/>
      <c r="M223" s="1334">
        <f t="shared" ref="M223:M243" si="60">SUM(J223:L223)</f>
        <v>0</v>
      </c>
      <c r="N223" s="1334">
        <f t="shared" si="57"/>
        <v>0</v>
      </c>
      <c r="O223" s="1159">
        <f t="shared" si="58"/>
        <v>0</v>
      </c>
      <c r="P223" s="1014">
        <f t="shared" si="59"/>
        <v>0</v>
      </c>
    </row>
    <row r="224" spans="1:17" ht="31" outlineLevel="1" x14ac:dyDescent="0.25">
      <c r="A224" s="1160">
        <f t="shared" si="52"/>
        <v>2.5</v>
      </c>
      <c r="B224" s="1328" t="str">
        <f t="shared" si="51"/>
        <v xml:space="preserve"> Construction of Resthouse at Dimbhe HPS</v>
      </c>
      <c r="C224" s="1160" t="str">
        <f t="shared" si="51"/>
        <v>MERC/TECH 12/CAPEX/20142015/00876</v>
      </c>
      <c r="D224" s="1010">
        <f t="shared" si="51"/>
        <v>41871</v>
      </c>
      <c r="E224" s="1329">
        <f t="shared" si="51"/>
        <v>0.7</v>
      </c>
      <c r="F224" s="1334">
        <f t="shared" si="53"/>
        <v>0.73791230399999996</v>
      </c>
      <c r="G224" s="1334">
        <f t="shared" si="54"/>
        <v>0.73791230399999996</v>
      </c>
      <c r="H224" s="1334">
        <f t="shared" si="55"/>
        <v>0</v>
      </c>
      <c r="I224" s="1327">
        <v>0</v>
      </c>
      <c r="J224" s="1327">
        <v>0</v>
      </c>
      <c r="K224" s="1334"/>
      <c r="L224" s="1334"/>
      <c r="M224" s="1334">
        <f t="shared" si="60"/>
        <v>0</v>
      </c>
      <c r="N224" s="1334">
        <f t="shared" si="57"/>
        <v>0</v>
      </c>
      <c r="O224" s="1159">
        <f t="shared" si="58"/>
        <v>0</v>
      </c>
      <c r="P224" s="1014">
        <f t="shared" si="59"/>
        <v>0</v>
      </c>
      <c r="Q224" s="1013"/>
    </row>
    <row r="225" spans="1:17" ht="31" outlineLevel="1" x14ac:dyDescent="0.25">
      <c r="A225" s="1160">
        <f t="shared" si="52"/>
        <v>0</v>
      </c>
      <c r="B225" s="1328" t="str">
        <f t="shared" si="51"/>
        <v>IDC</v>
      </c>
      <c r="C225" s="1160" t="str">
        <f t="shared" si="51"/>
        <v>MERC/TECH 12/CAPEX/20142015/00876</v>
      </c>
      <c r="D225" s="1010">
        <f t="shared" si="51"/>
        <v>41871</v>
      </c>
      <c r="E225" s="1329">
        <f t="shared" si="51"/>
        <v>0.33119999999999999</v>
      </c>
      <c r="F225" s="1334">
        <f t="shared" si="53"/>
        <v>0</v>
      </c>
      <c r="G225" s="1334">
        <f t="shared" si="54"/>
        <v>0</v>
      </c>
      <c r="H225" s="1334">
        <f t="shared" si="55"/>
        <v>0</v>
      </c>
      <c r="I225" s="1327">
        <v>0</v>
      </c>
      <c r="J225" s="1327">
        <v>0</v>
      </c>
      <c r="K225" s="1334"/>
      <c r="L225" s="1334"/>
      <c r="M225" s="1334">
        <f t="shared" si="60"/>
        <v>0</v>
      </c>
      <c r="N225" s="1334">
        <f t="shared" si="57"/>
        <v>0</v>
      </c>
      <c r="O225" s="1159">
        <f t="shared" si="58"/>
        <v>0</v>
      </c>
      <c r="P225" s="1014">
        <f t="shared" si="59"/>
        <v>0</v>
      </c>
      <c r="Q225" s="1013"/>
    </row>
    <row r="226" spans="1:17" s="1013" customFormat="1" ht="31" outlineLevel="1" x14ac:dyDescent="0.25">
      <c r="A226" s="1153">
        <f t="shared" si="52"/>
        <v>5</v>
      </c>
      <c r="B226" s="1154" t="str">
        <f t="shared" si="51"/>
        <v>Various Civil schemes for Modernisations of colonies at Various Locations under Pune HPC</v>
      </c>
      <c r="C226" s="1153" t="str">
        <f t="shared" si="51"/>
        <v>MERC/CAPEX/20162017/01745</v>
      </c>
      <c r="D226" s="1325">
        <f t="shared" si="51"/>
        <v>42825</v>
      </c>
      <c r="E226" s="1326">
        <f t="shared" si="51"/>
        <v>12.812999999999999</v>
      </c>
      <c r="F226" s="1327">
        <f t="shared" si="53"/>
        <v>0</v>
      </c>
      <c r="G226" s="1327">
        <f t="shared" si="54"/>
        <v>0</v>
      </c>
      <c r="H226" s="1327">
        <f t="shared" si="55"/>
        <v>0</v>
      </c>
      <c r="I226" s="1327">
        <v>0</v>
      </c>
      <c r="J226" s="1327">
        <v>0</v>
      </c>
      <c r="K226" s="1327"/>
      <c r="L226" s="1327"/>
      <c r="M226" s="1327">
        <f t="shared" si="60"/>
        <v>0</v>
      </c>
      <c r="N226" s="1327">
        <f t="shared" si="57"/>
        <v>0</v>
      </c>
      <c r="O226" s="1159">
        <f t="shared" si="58"/>
        <v>0</v>
      </c>
      <c r="P226" s="1014">
        <f t="shared" si="59"/>
        <v>0</v>
      </c>
    </row>
    <row r="227" spans="1:17" ht="15.5" outlineLevel="1" x14ac:dyDescent="0.25">
      <c r="A227" s="1160">
        <f t="shared" si="52"/>
        <v>5.0999999999999996</v>
      </c>
      <c r="B227" s="1328" t="str">
        <f t="shared" si="51"/>
        <v>Refurbishing of Residential complex</v>
      </c>
      <c r="C227" s="1160" t="str">
        <f t="shared" si="51"/>
        <v>MERC/CAPEX/20162017/01745</v>
      </c>
      <c r="D227" s="1010">
        <f t="shared" si="51"/>
        <v>42825</v>
      </c>
      <c r="E227" s="1329">
        <f t="shared" si="51"/>
        <v>2.415</v>
      </c>
      <c r="F227" s="1334">
        <f t="shared" si="53"/>
        <v>1.2675034840000001</v>
      </c>
      <c r="G227" s="1334">
        <f t="shared" si="54"/>
        <v>1.2675034840000001</v>
      </c>
      <c r="H227" s="1334">
        <f t="shared" si="55"/>
        <v>0</v>
      </c>
      <c r="I227" s="1327">
        <v>0</v>
      </c>
      <c r="J227" s="1327">
        <v>0</v>
      </c>
      <c r="K227" s="1334"/>
      <c r="L227" s="1334"/>
      <c r="M227" s="1334">
        <f t="shared" si="60"/>
        <v>0</v>
      </c>
      <c r="N227" s="1334">
        <f t="shared" si="57"/>
        <v>0</v>
      </c>
      <c r="O227" s="1159">
        <f t="shared" si="58"/>
        <v>0</v>
      </c>
      <c r="P227" s="1014">
        <f t="shared" si="59"/>
        <v>0</v>
      </c>
      <c r="Q227" s="1013"/>
    </row>
    <row r="228" spans="1:17" ht="15.5" outlineLevel="1" x14ac:dyDescent="0.25">
      <c r="A228" s="1160">
        <f t="shared" si="52"/>
        <v>5.2</v>
      </c>
      <c r="B228" s="1328" t="str">
        <f t="shared" si="51"/>
        <v>Internal Roads</v>
      </c>
      <c r="C228" s="1160" t="str">
        <f t="shared" si="51"/>
        <v>MERC/CAPEX/20162017/01745</v>
      </c>
      <c r="D228" s="1010">
        <f t="shared" si="51"/>
        <v>42825</v>
      </c>
      <c r="E228" s="1329">
        <f t="shared" si="51"/>
        <v>2.29</v>
      </c>
      <c r="F228" s="1334">
        <f t="shared" si="53"/>
        <v>1.6182413759999996</v>
      </c>
      <c r="G228" s="1334">
        <f t="shared" si="54"/>
        <v>1.6182413759999998</v>
      </c>
      <c r="H228" s="1334">
        <f t="shared" si="55"/>
        <v>0</v>
      </c>
      <c r="I228" s="1327">
        <v>0</v>
      </c>
      <c r="J228" s="1327">
        <v>0</v>
      </c>
      <c r="K228" s="1334"/>
      <c r="L228" s="1334"/>
      <c r="M228" s="1334">
        <f t="shared" si="60"/>
        <v>0</v>
      </c>
      <c r="N228" s="1334">
        <f t="shared" si="57"/>
        <v>0</v>
      </c>
      <c r="O228" s="1159">
        <f t="shared" si="58"/>
        <v>0</v>
      </c>
      <c r="P228" s="1014">
        <f t="shared" si="59"/>
        <v>0</v>
      </c>
      <c r="Q228" s="1013"/>
    </row>
    <row r="229" spans="1:17" ht="15.5" outlineLevel="1" x14ac:dyDescent="0.25">
      <c r="A229" s="1160">
        <f t="shared" si="52"/>
        <v>5.3</v>
      </c>
      <c r="B229" s="1328" t="str">
        <f t="shared" si="51"/>
        <v>Water supply, filteration &amp;  Sanitary works</v>
      </c>
      <c r="C229" s="1160" t="str">
        <f t="shared" si="51"/>
        <v>MERC/CAPEX/20162017/01745</v>
      </c>
      <c r="D229" s="1010">
        <f t="shared" si="51"/>
        <v>42825</v>
      </c>
      <c r="E229" s="1329">
        <f t="shared" si="51"/>
        <v>1.427</v>
      </c>
      <c r="F229" s="1334">
        <f t="shared" si="53"/>
        <v>0.57282329500000007</v>
      </c>
      <c r="G229" s="1334">
        <f t="shared" si="54"/>
        <v>0.57282329500000007</v>
      </c>
      <c r="H229" s="1334">
        <f t="shared" si="55"/>
        <v>0</v>
      </c>
      <c r="I229" s="1327">
        <v>0</v>
      </c>
      <c r="J229" s="1327">
        <v>0</v>
      </c>
      <c r="K229" s="1334"/>
      <c r="L229" s="1334"/>
      <c r="M229" s="1334">
        <f t="shared" si="60"/>
        <v>0</v>
      </c>
      <c r="N229" s="1334">
        <f t="shared" si="57"/>
        <v>0</v>
      </c>
      <c r="O229" s="1159">
        <f t="shared" si="58"/>
        <v>0</v>
      </c>
      <c r="P229" s="1014">
        <f t="shared" si="59"/>
        <v>0</v>
      </c>
      <c r="Q229" s="1013"/>
    </row>
    <row r="230" spans="1:17" ht="15.5" outlineLevel="1" x14ac:dyDescent="0.25">
      <c r="A230" s="1160">
        <f t="shared" si="52"/>
        <v>5.4</v>
      </c>
      <c r="B230" s="1328" t="str">
        <f t="shared" si="51"/>
        <v>Compound walls</v>
      </c>
      <c r="C230" s="1160" t="str">
        <f t="shared" si="51"/>
        <v>MERC/CAPEX/20162017/01745</v>
      </c>
      <c r="D230" s="1010">
        <f t="shared" si="51"/>
        <v>42825</v>
      </c>
      <c r="E230" s="1329">
        <f t="shared" si="51"/>
        <v>6.681</v>
      </c>
      <c r="F230" s="1334">
        <f t="shared" si="53"/>
        <v>7.5560763239999993</v>
      </c>
      <c r="G230" s="1334">
        <f t="shared" si="54"/>
        <v>7.5560763239999993</v>
      </c>
      <c r="H230" s="1334">
        <f t="shared" si="55"/>
        <v>0</v>
      </c>
      <c r="I230" s="1327">
        <v>0</v>
      </c>
      <c r="J230" s="1327">
        <v>0</v>
      </c>
      <c r="K230" s="1334"/>
      <c r="L230" s="1334"/>
      <c r="M230" s="1334">
        <f t="shared" si="60"/>
        <v>0</v>
      </c>
      <c r="N230" s="1334">
        <f t="shared" si="57"/>
        <v>0</v>
      </c>
      <c r="O230" s="1159">
        <f t="shared" si="58"/>
        <v>0</v>
      </c>
      <c r="P230" s="1014">
        <f t="shared" si="59"/>
        <v>0</v>
      </c>
      <c r="Q230" s="1013">
        <v>-2.3408937000000074E-2</v>
      </c>
    </row>
    <row r="231" spans="1:17" s="1013" customFormat="1" ht="31" outlineLevel="1" x14ac:dyDescent="0.25">
      <c r="A231" s="1153">
        <f t="shared" si="52"/>
        <v>14</v>
      </c>
      <c r="B231" s="1154" t="str">
        <f t="shared" si="51"/>
        <v>Various 14 Nos. of schemes for Hydro Power Stations under Renewable Energy Circle, Pune &amp; Nasik</v>
      </c>
      <c r="C231" s="1153" t="str">
        <f t="shared" si="51"/>
        <v>MERC/CAPEX/2020-21/WFH/SBR/ 19</v>
      </c>
      <c r="D231" s="1325">
        <f t="shared" si="51"/>
        <v>44029</v>
      </c>
      <c r="E231" s="1326">
        <f t="shared" si="51"/>
        <v>1.9079999999999999</v>
      </c>
      <c r="F231" s="1327">
        <f t="shared" si="53"/>
        <v>0</v>
      </c>
      <c r="G231" s="1327">
        <f t="shared" si="54"/>
        <v>0</v>
      </c>
      <c r="H231" s="1327">
        <f t="shared" si="55"/>
        <v>0</v>
      </c>
      <c r="I231" s="1327">
        <v>0</v>
      </c>
      <c r="J231" s="1327">
        <v>0</v>
      </c>
      <c r="K231" s="1327"/>
      <c r="L231" s="1327"/>
      <c r="M231" s="1327">
        <f t="shared" si="60"/>
        <v>0</v>
      </c>
      <c r="N231" s="1327">
        <f t="shared" si="57"/>
        <v>0</v>
      </c>
      <c r="O231" s="1159">
        <f t="shared" si="58"/>
        <v>0</v>
      </c>
      <c r="P231" s="1014">
        <f t="shared" si="59"/>
        <v>0</v>
      </c>
    </row>
    <row r="232" spans="1:17" ht="31" outlineLevel="1" x14ac:dyDescent="0.25">
      <c r="A232" s="1160">
        <f t="shared" si="52"/>
        <v>14.1</v>
      </c>
      <c r="B232" s="1328" t="str">
        <f t="shared" si="51"/>
        <v>Schme-A: Retrofitting of 12 KV Breakers at Ujjani Hydro Power Station</v>
      </c>
      <c r="C232" s="1160" t="str">
        <f t="shared" si="51"/>
        <v>MERC/CAPEX/2020-21/WFH/SBR/ 19</v>
      </c>
      <c r="D232" s="1010">
        <f t="shared" si="51"/>
        <v>44029</v>
      </c>
      <c r="E232" s="1329">
        <f t="shared" si="51"/>
        <v>0.39500000000000002</v>
      </c>
      <c r="F232" s="1334">
        <f t="shared" si="53"/>
        <v>0.26762399999999997</v>
      </c>
      <c r="G232" s="1334">
        <f t="shared" si="54"/>
        <v>0.26762399999999997</v>
      </c>
      <c r="H232" s="1334">
        <f t="shared" si="55"/>
        <v>0</v>
      </c>
      <c r="I232" s="1327">
        <v>0</v>
      </c>
      <c r="J232" s="1327">
        <v>0</v>
      </c>
      <c r="K232" s="1334"/>
      <c r="L232" s="1334"/>
      <c r="M232" s="1334">
        <f t="shared" si="60"/>
        <v>0</v>
      </c>
      <c r="N232" s="1334">
        <f t="shared" si="57"/>
        <v>0</v>
      </c>
      <c r="O232" s="1159">
        <f t="shared" si="58"/>
        <v>0</v>
      </c>
      <c r="P232" s="1014">
        <f t="shared" si="59"/>
        <v>0</v>
      </c>
      <c r="Q232" s="1013"/>
    </row>
    <row r="233" spans="1:17" ht="31" outlineLevel="1" x14ac:dyDescent="0.25">
      <c r="A233" s="1160">
        <f t="shared" si="52"/>
        <v>14.3</v>
      </c>
      <c r="B233" s="1328" t="str">
        <f t="shared" si="51"/>
        <v>Schme-C :Replacement of existing Energy meters by 0.2S Class Energy meters at various HPS.</v>
      </c>
      <c r="C233" s="1160" t="str">
        <f t="shared" si="51"/>
        <v>MERC/CAPEX/2020-21/WFH/SBR/ 19</v>
      </c>
      <c r="D233" s="1010">
        <f t="shared" si="51"/>
        <v>44029</v>
      </c>
      <c r="E233" s="1329">
        <f t="shared" si="51"/>
        <v>0.10199999999999999</v>
      </c>
      <c r="F233" s="1334">
        <f t="shared" si="53"/>
        <v>9.6156000000000005E-2</v>
      </c>
      <c r="G233" s="1334">
        <f t="shared" si="54"/>
        <v>7.969248000000001E-2</v>
      </c>
      <c r="H233" s="1334">
        <f t="shared" si="55"/>
        <v>1.6463519999999995E-2</v>
      </c>
      <c r="I233" s="1327">
        <v>0</v>
      </c>
      <c r="J233" s="1327">
        <v>0</v>
      </c>
      <c r="K233" s="1334"/>
      <c r="L233" s="1334"/>
      <c r="M233" s="1334">
        <f t="shared" si="60"/>
        <v>0</v>
      </c>
      <c r="N233" s="1334">
        <f t="shared" si="57"/>
        <v>1.6463519999999995E-2</v>
      </c>
      <c r="O233" s="1159">
        <f t="shared" si="58"/>
        <v>0</v>
      </c>
      <c r="P233" s="1014">
        <f t="shared" si="59"/>
        <v>0</v>
      </c>
      <c r="Q233" s="1013"/>
    </row>
    <row r="234" spans="1:17" ht="31" outlineLevel="1" x14ac:dyDescent="0.25">
      <c r="A234" s="1160">
        <f t="shared" si="52"/>
        <v>14.4</v>
      </c>
      <c r="B234" s="1328" t="str">
        <f t="shared" si="51"/>
        <v>Schme-D: Providing Oil Filtration Machines for all Divisions of REC, Pune</v>
      </c>
      <c r="C234" s="1160" t="str">
        <f t="shared" si="51"/>
        <v>MERC/CAPEX/2020-21/WFH/SBR/ 19</v>
      </c>
      <c r="D234" s="1010">
        <f t="shared" si="51"/>
        <v>44029</v>
      </c>
      <c r="E234" s="1329">
        <f t="shared" si="51"/>
        <v>0.56100000000000005</v>
      </c>
      <c r="F234" s="1334">
        <f t="shared" si="53"/>
        <v>0.2723912</v>
      </c>
      <c r="G234" s="1334">
        <f t="shared" si="54"/>
        <v>0.2723912</v>
      </c>
      <c r="H234" s="1334">
        <f t="shared" si="55"/>
        <v>0</v>
      </c>
      <c r="I234" s="1327">
        <v>0</v>
      </c>
      <c r="J234" s="1327">
        <v>0</v>
      </c>
      <c r="K234" s="1334"/>
      <c r="L234" s="1334"/>
      <c r="M234" s="1334">
        <f t="shared" si="60"/>
        <v>0</v>
      </c>
      <c r="N234" s="1334">
        <f t="shared" si="57"/>
        <v>0</v>
      </c>
      <c r="O234" s="1159">
        <f t="shared" si="58"/>
        <v>0</v>
      </c>
      <c r="P234" s="1014">
        <f t="shared" si="59"/>
        <v>0</v>
      </c>
      <c r="Q234" s="1013"/>
    </row>
    <row r="235" spans="1:17" ht="15.5" outlineLevel="1" x14ac:dyDescent="0.25">
      <c r="A235" s="1160">
        <f t="shared" si="52"/>
        <v>0</v>
      </c>
      <c r="B235" s="1328" t="str">
        <f t="shared" si="51"/>
        <v>IDC</v>
      </c>
      <c r="C235" s="1160" t="str">
        <f t="shared" si="51"/>
        <v>MERC/CAPEX/2020-21/WFH/SBR/ 19</v>
      </c>
      <c r="D235" s="1010">
        <f t="shared" si="51"/>
        <v>44029</v>
      </c>
      <c r="E235" s="1329">
        <f t="shared" si="51"/>
        <v>0.85</v>
      </c>
      <c r="F235" s="1334">
        <f t="shared" si="53"/>
        <v>0</v>
      </c>
      <c r="G235" s="1334">
        <f t="shared" si="54"/>
        <v>0</v>
      </c>
      <c r="H235" s="1334">
        <f t="shared" si="55"/>
        <v>0</v>
      </c>
      <c r="I235" s="1327">
        <v>0</v>
      </c>
      <c r="J235" s="1327">
        <v>0</v>
      </c>
      <c r="K235" s="1334"/>
      <c r="L235" s="1334"/>
      <c r="M235" s="1334">
        <f t="shared" si="60"/>
        <v>0</v>
      </c>
      <c r="N235" s="1334">
        <f t="shared" si="57"/>
        <v>0</v>
      </c>
      <c r="O235" s="1159">
        <f t="shared" si="58"/>
        <v>0</v>
      </c>
      <c r="P235" s="1014">
        <f t="shared" si="59"/>
        <v>0</v>
      </c>
      <c r="Q235" s="1013"/>
    </row>
    <row r="236" spans="1:17" s="1013" customFormat="1" ht="31" outlineLevel="1" x14ac:dyDescent="0.25">
      <c r="A236" s="1153">
        <f t="shared" si="52"/>
        <v>16</v>
      </c>
      <c r="B236" s="1154" t="str">
        <f t="shared" si="52"/>
        <v>Various 6 Nos. Schemes for Hydro Power Stations under Renewable Energy Circle, Pune</v>
      </c>
      <c r="C236" s="1153" t="str">
        <f t="shared" si="52"/>
        <v>MERC/CAPEX/2020-2021/WFH/ SBR/22</v>
      </c>
      <c r="D236" s="1325">
        <f t="shared" si="52"/>
        <v>44037</v>
      </c>
      <c r="E236" s="1326">
        <f t="shared" si="52"/>
        <v>10.861000000000001</v>
      </c>
      <c r="F236" s="1327">
        <f t="shared" si="53"/>
        <v>0</v>
      </c>
      <c r="G236" s="1327">
        <f t="shared" si="54"/>
        <v>0</v>
      </c>
      <c r="H236" s="1327">
        <f t="shared" si="55"/>
        <v>0</v>
      </c>
      <c r="I236" s="1327">
        <v>0</v>
      </c>
      <c r="J236" s="1327">
        <v>0</v>
      </c>
      <c r="K236" s="1327"/>
      <c r="L236" s="1327"/>
      <c r="M236" s="1327">
        <f t="shared" si="60"/>
        <v>0</v>
      </c>
      <c r="N236" s="1327">
        <f t="shared" si="57"/>
        <v>0</v>
      </c>
      <c r="O236" s="1159">
        <f t="shared" si="58"/>
        <v>0</v>
      </c>
      <c r="P236" s="1014">
        <f t="shared" si="59"/>
        <v>0</v>
      </c>
    </row>
    <row r="237" spans="1:17" ht="31" outlineLevel="1" x14ac:dyDescent="0.25">
      <c r="A237" s="1160">
        <f t="shared" si="52"/>
        <v>16.100000000000001</v>
      </c>
      <c r="B237" s="1328" t="str">
        <f t="shared" si="52"/>
        <v>Replacement of existing Air Compressors at Bhira, Tilari, Pawana and Ujjani Hydro Power Stations under REC, Pune</v>
      </c>
      <c r="C237" s="1160" t="str">
        <f t="shared" si="52"/>
        <v>MERC/CAPEX/2020-2021/WFH/ SBR/22</v>
      </c>
      <c r="D237" s="1010">
        <f t="shared" si="52"/>
        <v>44037</v>
      </c>
      <c r="E237" s="1329">
        <f t="shared" si="52"/>
        <v>0.95099999999999996</v>
      </c>
      <c r="F237" s="1334">
        <f t="shared" si="53"/>
        <v>0.61</v>
      </c>
      <c r="G237" s="1334">
        <f t="shared" si="54"/>
        <v>0.61</v>
      </c>
      <c r="H237" s="1334">
        <f t="shared" si="55"/>
        <v>0</v>
      </c>
      <c r="I237" s="1327">
        <v>0</v>
      </c>
      <c r="J237" s="1327">
        <v>0</v>
      </c>
      <c r="K237" s="1334"/>
      <c r="L237" s="1334"/>
      <c r="M237" s="1334">
        <f t="shared" si="60"/>
        <v>0</v>
      </c>
      <c r="N237" s="1334">
        <f t="shared" si="57"/>
        <v>0</v>
      </c>
      <c r="O237" s="1159">
        <f t="shared" si="58"/>
        <v>0</v>
      </c>
      <c r="P237" s="1014">
        <f t="shared" si="59"/>
        <v>0</v>
      </c>
      <c r="Q237" s="1013"/>
    </row>
    <row r="238" spans="1:17" ht="62" outlineLevel="1" x14ac:dyDescent="0.25">
      <c r="A238" s="1160">
        <f t="shared" ref="A238:E253" si="61">A185</f>
        <v>16.2</v>
      </c>
      <c r="B238" s="1328" t="str">
        <f t="shared" si="61"/>
        <v>Replacement of existing Air conditioners of Plant Control Rooms at Ujjani, Warna, Kanher, Dhom, Dimbhe &amp; Dudhganga
HPS.</v>
      </c>
      <c r="C238" s="1160" t="str">
        <f t="shared" si="61"/>
        <v>MERC/CAPEX/2020-2021/WFH/ SBR/22</v>
      </c>
      <c r="D238" s="1010">
        <f t="shared" si="61"/>
        <v>44037</v>
      </c>
      <c r="E238" s="1329">
        <f t="shared" si="61"/>
        <v>0.29199999999999998</v>
      </c>
      <c r="F238" s="1334">
        <f t="shared" si="53"/>
        <v>0.25256440000000002</v>
      </c>
      <c r="G238" s="1334">
        <f t="shared" si="54"/>
        <v>0.25256440000000002</v>
      </c>
      <c r="H238" s="1334">
        <f t="shared" si="55"/>
        <v>0</v>
      </c>
      <c r="I238" s="1327">
        <v>0</v>
      </c>
      <c r="J238" s="1327">
        <v>0</v>
      </c>
      <c r="K238" s="1334"/>
      <c r="L238" s="1334"/>
      <c r="M238" s="1334">
        <f t="shared" si="60"/>
        <v>0</v>
      </c>
      <c r="N238" s="1334">
        <f t="shared" si="57"/>
        <v>0</v>
      </c>
      <c r="O238" s="1159">
        <f t="shared" si="58"/>
        <v>0</v>
      </c>
      <c r="P238" s="1014">
        <f t="shared" si="59"/>
        <v>0</v>
      </c>
      <c r="Q238" s="1013"/>
    </row>
    <row r="239" spans="1:17" ht="46.5" outlineLevel="1" x14ac:dyDescent="0.25">
      <c r="A239" s="1160">
        <f t="shared" si="61"/>
        <v>16.399999999999999</v>
      </c>
      <c r="B239" s="1328" t="str">
        <f t="shared" si="61"/>
        <v>Replacement of 220 V, 400/300 AH Battery set with Tubular type Battery Banks at Bhira, Tilari, Kanher, Dimbhe and Ujani Hydro Power Stations.</v>
      </c>
      <c r="C239" s="1160" t="str">
        <f t="shared" si="61"/>
        <v>MERC/CAPEX/2020-2021/WFH/ SBR/22</v>
      </c>
      <c r="D239" s="1010">
        <f t="shared" si="61"/>
        <v>44037</v>
      </c>
      <c r="E239" s="1329">
        <f t="shared" si="61"/>
        <v>0.89999999999999991</v>
      </c>
      <c r="F239" s="1334">
        <f t="shared" si="53"/>
        <v>0.35828399999999999</v>
      </c>
      <c r="G239" s="1334">
        <f t="shared" si="54"/>
        <v>0.35828399999999999</v>
      </c>
      <c r="H239" s="1334">
        <f t="shared" si="55"/>
        <v>0</v>
      </c>
      <c r="I239" s="1327">
        <v>0</v>
      </c>
      <c r="J239" s="1327">
        <v>0</v>
      </c>
      <c r="K239" s="1334"/>
      <c r="L239" s="1334"/>
      <c r="M239" s="1334">
        <f t="shared" si="60"/>
        <v>0</v>
      </c>
      <c r="N239" s="1334">
        <f t="shared" si="57"/>
        <v>0</v>
      </c>
      <c r="O239" s="1159">
        <f t="shared" si="58"/>
        <v>0</v>
      </c>
      <c r="P239" s="1014">
        <f t="shared" si="59"/>
        <v>0</v>
      </c>
      <c r="Q239" s="1013"/>
    </row>
    <row r="240" spans="1:17" ht="31" outlineLevel="1" x14ac:dyDescent="0.25">
      <c r="A240" s="1160">
        <f t="shared" si="61"/>
        <v>16.5</v>
      </c>
      <c r="B240" s="1328" t="str">
        <f t="shared" si="61"/>
        <v>Supply, installation and commissioning of Kaplan Turbine Runner Blades from BHEL (OEM) for Dudhganga U#1.</v>
      </c>
      <c r="C240" s="1160" t="str">
        <f t="shared" si="61"/>
        <v>MERC/CAPEX/2020-2021/WFH/ SBR/22</v>
      </c>
      <c r="D240" s="1010">
        <f t="shared" si="61"/>
        <v>44037</v>
      </c>
      <c r="E240" s="1329">
        <f t="shared" si="61"/>
        <v>4.657</v>
      </c>
      <c r="F240" s="1334">
        <f t="shared" si="53"/>
        <v>4.5730371359999999</v>
      </c>
      <c r="G240" s="1334">
        <f t="shared" si="54"/>
        <v>4.5799459359999997</v>
      </c>
      <c r="H240" s="1334">
        <f t="shared" si="55"/>
        <v>-6.9087999999997152E-3</v>
      </c>
      <c r="I240" s="1327">
        <v>0</v>
      </c>
      <c r="J240" s="1327">
        <v>0</v>
      </c>
      <c r="K240" s="1334"/>
      <c r="L240" s="1334"/>
      <c r="M240" s="1334">
        <f t="shared" si="60"/>
        <v>0</v>
      </c>
      <c r="N240" s="1334">
        <f t="shared" si="57"/>
        <v>-6.9087999999997152E-3</v>
      </c>
      <c r="O240" s="1159">
        <f t="shared" si="58"/>
        <v>0</v>
      </c>
      <c r="P240" s="1014">
        <f t="shared" si="59"/>
        <v>0</v>
      </c>
    </row>
    <row r="241" spans="1:16" ht="46.5" outlineLevel="1" x14ac:dyDescent="0.25">
      <c r="A241" s="1160">
        <f t="shared" si="61"/>
        <v>16.600000000000001</v>
      </c>
      <c r="B241" s="1328" t="str">
        <f t="shared" si="61"/>
        <v>Replacement of existing Protection Systems with Numerical Protection system at Bhira, Panshet, Varasgaon, Dimbhe &amp; Manikdoh HPS.</v>
      </c>
      <c r="C241" s="1160" t="str">
        <f t="shared" si="61"/>
        <v>MERC/CAPEX/2020-2021/WFH/ SBR/22</v>
      </c>
      <c r="D241" s="1010">
        <f t="shared" si="61"/>
        <v>44037</v>
      </c>
      <c r="E241" s="1329">
        <f t="shared" si="61"/>
        <v>3.6220000000000003</v>
      </c>
      <c r="F241" s="1334">
        <f t="shared" si="53"/>
        <v>2.13395</v>
      </c>
      <c r="G241" s="1334">
        <f t="shared" si="54"/>
        <v>2.13395</v>
      </c>
      <c r="H241" s="1334">
        <f t="shared" si="55"/>
        <v>0</v>
      </c>
      <c r="I241" s="1327">
        <v>0</v>
      </c>
      <c r="J241" s="1327">
        <v>0</v>
      </c>
      <c r="K241" s="1334"/>
      <c r="L241" s="1334"/>
      <c r="M241" s="1334">
        <f t="shared" si="60"/>
        <v>0</v>
      </c>
      <c r="N241" s="1334">
        <f t="shared" si="57"/>
        <v>0</v>
      </c>
      <c r="O241" s="1159">
        <f t="shared" si="58"/>
        <v>0</v>
      </c>
      <c r="P241" s="1014">
        <f t="shared" si="59"/>
        <v>0</v>
      </c>
    </row>
    <row r="242" spans="1:16" ht="31" outlineLevel="1" x14ac:dyDescent="0.25">
      <c r="A242" s="1160">
        <f t="shared" si="61"/>
        <v>0</v>
      </c>
      <c r="B242" s="1328" t="str">
        <f t="shared" si="61"/>
        <v>IDC</v>
      </c>
      <c r="C242" s="1160" t="str">
        <f t="shared" si="61"/>
        <v>MERC/CAPEX/2020-2021/WFH/ SBR/22</v>
      </c>
      <c r="D242" s="1010">
        <f t="shared" si="61"/>
        <v>44037</v>
      </c>
      <c r="E242" s="1329">
        <f t="shared" si="61"/>
        <v>0.439</v>
      </c>
      <c r="F242" s="1334">
        <f t="shared" si="53"/>
        <v>0</v>
      </c>
      <c r="G242" s="1334">
        <f t="shared" si="54"/>
        <v>0</v>
      </c>
      <c r="H242" s="1334">
        <f t="shared" si="55"/>
        <v>0</v>
      </c>
      <c r="I242" s="1327">
        <v>0</v>
      </c>
      <c r="J242" s="1327">
        <v>0</v>
      </c>
      <c r="K242" s="1334"/>
      <c r="L242" s="1334"/>
      <c r="M242" s="1334">
        <f t="shared" si="60"/>
        <v>0</v>
      </c>
      <c r="N242" s="1334">
        <f t="shared" si="57"/>
        <v>0</v>
      </c>
      <c r="O242" s="1159">
        <f t="shared" si="58"/>
        <v>0</v>
      </c>
      <c r="P242" s="1014">
        <f t="shared" si="59"/>
        <v>0</v>
      </c>
    </row>
    <row r="243" spans="1:16" ht="31" outlineLevel="1" x14ac:dyDescent="0.25">
      <c r="A243" s="1015">
        <f t="shared" si="61"/>
        <v>17</v>
      </c>
      <c r="B243" s="1016" t="str">
        <f t="shared" si="61"/>
        <v xml:space="preserve">Fortification near Panshet hydro power station for arresting rock falling on HPS Building at panshet . </v>
      </c>
      <c r="C243" s="1015" t="str">
        <f t="shared" si="61"/>
        <v xml:space="preserve">Not approved </v>
      </c>
      <c r="D243" s="1010" t="str">
        <f t="shared" si="61"/>
        <v>-</v>
      </c>
      <c r="E243" s="1330">
        <f t="shared" si="61"/>
        <v>0</v>
      </c>
      <c r="F243" s="1330">
        <f t="shared" si="53"/>
        <v>0</v>
      </c>
      <c r="G243" s="1330">
        <f t="shared" si="54"/>
        <v>0</v>
      </c>
      <c r="H243" s="1330">
        <f t="shared" si="55"/>
        <v>0</v>
      </c>
      <c r="I243" s="1327">
        <v>0</v>
      </c>
      <c r="J243" s="1327">
        <v>0</v>
      </c>
      <c r="K243" s="1330"/>
      <c r="L243" s="1330"/>
      <c r="M243" s="1330">
        <f t="shared" si="60"/>
        <v>0</v>
      </c>
      <c r="N243" s="1330">
        <f t="shared" si="57"/>
        <v>0</v>
      </c>
      <c r="O243" s="1159">
        <f t="shared" si="58"/>
        <v>0</v>
      </c>
      <c r="P243" s="1014">
        <f t="shared" si="59"/>
        <v>0</v>
      </c>
    </row>
    <row r="244" spans="1:16" ht="31" outlineLevel="1" x14ac:dyDescent="0.25">
      <c r="A244" s="1015">
        <f t="shared" si="61"/>
        <v>17.100000000000001</v>
      </c>
      <c r="B244" s="1016" t="str">
        <f t="shared" si="61"/>
        <v xml:space="preserve">Fortification near Panshet hydro power station for arresting rock falling on HPS Building at panshet . </v>
      </c>
      <c r="C244" s="1015" t="str">
        <f t="shared" si="61"/>
        <v xml:space="preserve">Not approved </v>
      </c>
      <c r="D244" s="1010" t="str">
        <f t="shared" si="61"/>
        <v>-</v>
      </c>
      <c r="E244" s="1330">
        <f t="shared" si="61"/>
        <v>0</v>
      </c>
      <c r="F244" s="1330">
        <f t="shared" si="53"/>
        <v>12.06</v>
      </c>
      <c r="G244" s="1330">
        <f t="shared" si="54"/>
        <v>0</v>
      </c>
      <c r="H244" s="1330">
        <f t="shared" si="55"/>
        <v>12.06</v>
      </c>
      <c r="I244" s="1327">
        <v>0</v>
      </c>
      <c r="J244" s="1327">
        <v>0</v>
      </c>
      <c r="K244" s="1330"/>
      <c r="L244" s="1330"/>
      <c r="M244" s="1330">
        <f t="shared" ref="M244:M269" si="62">SUM(J244:L244)</f>
        <v>0</v>
      </c>
      <c r="N244" s="1330">
        <f t="shared" si="57"/>
        <v>12.06</v>
      </c>
      <c r="O244" s="1159">
        <f t="shared" si="58"/>
        <v>0</v>
      </c>
      <c r="P244" s="1014">
        <f t="shared" si="59"/>
        <v>0</v>
      </c>
    </row>
    <row r="245" spans="1:16" ht="15.5" outlineLevel="1" x14ac:dyDescent="0.25">
      <c r="A245" s="1011">
        <f t="shared" si="61"/>
        <v>0</v>
      </c>
      <c r="B245" s="1150" t="str">
        <f t="shared" si="61"/>
        <v>(ii) Yet to be submitted to MERC</v>
      </c>
      <c r="C245" s="1011">
        <f t="shared" si="61"/>
        <v>0</v>
      </c>
      <c r="D245" s="1010" t="str">
        <f t="shared" si="61"/>
        <v>-</v>
      </c>
      <c r="E245" s="1330">
        <f t="shared" si="61"/>
        <v>0</v>
      </c>
      <c r="F245" s="1259">
        <f t="shared" si="53"/>
        <v>0</v>
      </c>
      <c r="G245" s="1259">
        <f t="shared" si="54"/>
        <v>0</v>
      </c>
      <c r="H245" s="1259">
        <f t="shared" si="55"/>
        <v>0</v>
      </c>
      <c r="I245" s="1327">
        <v>0</v>
      </c>
      <c r="J245" s="1327">
        <v>0</v>
      </c>
      <c r="K245" s="1259"/>
      <c r="L245" s="1259"/>
      <c r="M245" s="1259">
        <f t="shared" si="62"/>
        <v>0</v>
      </c>
      <c r="N245" s="1259">
        <f t="shared" si="57"/>
        <v>0</v>
      </c>
      <c r="O245" s="1013"/>
      <c r="P245" s="1013"/>
    </row>
    <row r="246" spans="1:16" ht="15.5" outlineLevel="1" x14ac:dyDescent="0.25">
      <c r="A246" s="1153">
        <f t="shared" si="61"/>
        <v>1</v>
      </c>
      <c r="B246" s="1154" t="str">
        <f t="shared" si="61"/>
        <v>DPR-5</v>
      </c>
      <c r="C246" s="1153" t="str">
        <f t="shared" si="61"/>
        <v>(ii) Yet to be submitted to MERC</v>
      </c>
      <c r="D246" s="1325" t="str">
        <f t="shared" si="61"/>
        <v>-</v>
      </c>
      <c r="E246" s="1326">
        <f t="shared" si="61"/>
        <v>0</v>
      </c>
      <c r="F246" s="1335">
        <f t="shared" si="53"/>
        <v>0</v>
      </c>
      <c r="G246" s="1335">
        <f t="shared" si="54"/>
        <v>0</v>
      </c>
      <c r="H246" s="1335">
        <f t="shared" si="55"/>
        <v>0</v>
      </c>
      <c r="I246" s="1327">
        <v>0</v>
      </c>
      <c r="J246" s="1327">
        <v>0</v>
      </c>
      <c r="K246" s="1335"/>
      <c r="L246" s="1335"/>
      <c r="M246" s="1335">
        <f t="shared" si="62"/>
        <v>0</v>
      </c>
      <c r="N246" s="1335">
        <f t="shared" si="57"/>
        <v>0</v>
      </c>
      <c r="O246" s="1013"/>
      <c r="P246" s="1013"/>
    </row>
    <row r="247" spans="1:16" ht="31" outlineLevel="1" x14ac:dyDescent="0.25">
      <c r="A247" s="1160">
        <f t="shared" si="61"/>
        <v>1.1000000000000001</v>
      </c>
      <c r="B247" s="1328" t="str">
        <f t="shared" si="61"/>
        <v>Supply, erection &amp; commissioning of Digital Governor and DAVR for Panshet HPS under REC, Pune</v>
      </c>
      <c r="C247" s="1160" t="str">
        <f t="shared" si="61"/>
        <v>(ii) Yet to be submitted to MERC</v>
      </c>
      <c r="D247" s="1010" t="str">
        <f t="shared" si="61"/>
        <v>-</v>
      </c>
      <c r="E247" s="1329">
        <f t="shared" si="61"/>
        <v>0</v>
      </c>
      <c r="F247" s="1334">
        <f t="shared" si="53"/>
        <v>4.5</v>
      </c>
      <c r="G247" s="1334">
        <f t="shared" si="54"/>
        <v>4.5</v>
      </c>
      <c r="H247" s="1334">
        <f t="shared" si="55"/>
        <v>0</v>
      </c>
      <c r="I247" s="1327">
        <v>0</v>
      </c>
      <c r="J247" s="1327">
        <v>0</v>
      </c>
      <c r="K247" s="1334"/>
      <c r="L247" s="1334"/>
      <c r="M247" s="1334">
        <f t="shared" si="62"/>
        <v>0</v>
      </c>
      <c r="N247" s="1334">
        <f t="shared" si="57"/>
        <v>0</v>
      </c>
      <c r="O247" s="1013"/>
      <c r="P247" s="1013"/>
    </row>
    <row r="248" spans="1:16" ht="31" outlineLevel="1" x14ac:dyDescent="0.25">
      <c r="A248" s="1160">
        <f t="shared" si="61"/>
        <v>1.2</v>
      </c>
      <c r="B248" s="1328" t="str">
        <f t="shared" si="61"/>
        <v xml:space="preserve">Supply, erection &amp; commissioning of Digital Governor, Excitation system (DAVR) at Warana &amp; Dudhganga HPS </v>
      </c>
      <c r="C248" s="1160" t="str">
        <f t="shared" si="61"/>
        <v>(ii) Yet to be submitted to MERC</v>
      </c>
      <c r="D248" s="1010" t="str">
        <f t="shared" si="61"/>
        <v>-</v>
      </c>
      <c r="E248" s="1329">
        <f t="shared" si="61"/>
        <v>0</v>
      </c>
      <c r="F248" s="1334">
        <f t="shared" si="53"/>
        <v>0</v>
      </c>
      <c r="G248" s="1334">
        <f t="shared" si="54"/>
        <v>0</v>
      </c>
      <c r="H248" s="1334">
        <f t="shared" si="55"/>
        <v>0</v>
      </c>
      <c r="I248" s="1327">
        <v>18.79</v>
      </c>
      <c r="J248" s="1327">
        <v>18.79</v>
      </c>
      <c r="K248" s="1334"/>
      <c r="L248" s="1334"/>
      <c r="M248" s="1334">
        <f t="shared" si="62"/>
        <v>18.79</v>
      </c>
      <c r="N248" s="1334">
        <f t="shared" si="57"/>
        <v>0</v>
      </c>
      <c r="O248" s="1013"/>
      <c r="P248" s="1013"/>
    </row>
    <row r="249" spans="1:16" ht="46.5" outlineLevel="1" x14ac:dyDescent="0.25">
      <c r="A249" s="1160">
        <f t="shared" si="61"/>
        <v>1.3</v>
      </c>
      <c r="B249" s="1328" t="str">
        <f t="shared" si="61"/>
        <v>Supply,erection &amp; commissioningof Governor, Excitation System (DAVR) and Autosequencer for Manikdoh, Kanher &amp; Dimbhe HPS.</v>
      </c>
      <c r="C249" s="1160" t="str">
        <f t="shared" si="61"/>
        <v>(ii) Yet to be submitted to MERC</v>
      </c>
      <c r="D249" s="1010" t="str">
        <f t="shared" si="61"/>
        <v>-</v>
      </c>
      <c r="E249" s="1329">
        <f t="shared" si="61"/>
        <v>0</v>
      </c>
      <c r="F249" s="1334">
        <f t="shared" si="53"/>
        <v>0</v>
      </c>
      <c r="G249" s="1334">
        <f t="shared" si="54"/>
        <v>0</v>
      </c>
      <c r="H249" s="1334">
        <f t="shared" si="55"/>
        <v>0</v>
      </c>
      <c r="I249" s="1327">
        <v>14.35</v>
      </c>
      <c r="J249" s="1327">
        <v>14.35</v>
      </c>
      <c r="K249" s="1334"/>
      <c r="L249" s="1334"/>
      <c r="M249" s="1334">
        <f t="shared" si="62"/>
        <v>14.35</v>
      </c>
      <c r="N249" s="1334">
        <f t="shared" si="57"/>
        <v>0</v>
      </c>
      <c r="O249" s="1013"/>
      <c r="P249" s="1013"/>
    </row>
    <row r="250" spans="1:16" ht="31" outlineLevel="1" x14ac:dyDescent="0.25">
      <c r="A250" s="1160">
        <f t="shared" si="61"/>
        <v>1.4</v>
      </c>
      <c r="B250" s="1328" t="str">
        <f t="shared" si="61"/>
        <v>Supply, erection &amp; commissioning of Digital Governor Pawana &amp; Varasgaon HPS</v>
      </c>
      <c r="C250" s="1160" t="str">
        <f t="shared" si="61"/>
        <v>(ii) Yet to be submitted to MERC</v>
      </c>
      <c r="D250" s="1010" t="str">
        <f t="shared" si="61"/>
        <v>-</v>
      </c>
      <c r="E250" s="1329">
        <f t="shared" si="61"/>
        <v>0</v>
      </c>
      <c r="F250" s="1334">
        <f t="shared" si="53"/>
        <v>6.74</v>
      </c>
      <c r="G250" s="1334">
        <f t="shared" si="54"/>
        <v>6.74</v>
      </c>
      <c r="H250" s="1334">
        <f t="shared" si="55"/>
        <v>0</v>
      </c>
      <c r="I250" s="1327">
        <v>0</v>
      </c>
      <c r="J250" s="1327">
        <v>0</v>
      </c>
      <c r="K250" s="1334"/>
      <c r="L250" s="1334"/>
      <c r="M250" s="1334">
        <f t="shared" si="62"/>
        <v>0</v>
      </c>
      <c r="N250" s="1334">
        <f t="shared" si="57"/>
        <v>0</v>
      </c>
      <c r="O250" s="1013"/>
      <c r="P250" s="1013"/>
    </row>
    <row r="251" spans="1:16" ht="46.5" outlineLevel="1" x14ac:dyDescent="0.25">
      <c r="A251" s="1160">
        <f t="shared" si="61"/>
        <v>1.5</v>
      </c>
      <c r="B251" s="1328" t="str">
        <f t="shared" si="61"/>
        <v>Upgradation of Protection system for Generator and Generator transformer at bhatghar,Dudhganga,Ujani,Warana,Kanher &amp; Dhom</v>
      </c>
      <c r="C251" s="1160" t="str">
        <f t="shared" si="61"/>
        <v>(ii) Yet to be submitted to MERC</v>
      </c>
      <c r="D251" s="1010" t="str">
        <f t="shared" si="61"/>
        <v>-</v>
      </c>
      <c r="E251" s="1329">
        <f t="shared" si="61"/>
        <v>0</v>
      </c>
      <c r="F251" s="1334">
        <f t="shared" si="53"/>
        <v>7.22</v>
      </c>
      <c r="G251" s="1334">
        <f t="shared" si="54"/>
        <v>7.22</v>
      </c>
      <c r="H251" s="1334">
        <f t="shared" si="55"/>
        <v>0</v>
      </c>
      <c r="I251" s="1327">
        <v>0</v>
      </c>
      <c r="J251" s="1327">
        <v>0</v>
      </c>
      <c r="K251" s="1334"/>
      <c r="L251" s="1334"/>
      <c r="M251" s="1334">
        <f t="shared" si="62"/>
        <v>0</v>
      </c>
      <c r="N251" s="1334">
        <f t="shared" si="57"/>
        <v>0</v>
      </c>
      <c r="O251" s="1013"/>
      <c r="P251" s="1013"/>
    </row>
    <row r="252" spans="1:16" ht="15.5" outlineLevel="1" x14ac:dyDescent="0.25">
      <c r="A252" s="1160">
        <f t="shared" si="61"/>
        <v>0</v>
      </c>
      <c r="B252" s="1328" t="str">
        <f t="shared" si="61"/>
        <v>DPR-6</v>
      </c>
      <c r="C252" s="1160">
        <f t="shared" si="61"/>
        <v>0</v>
      </c>
      <c r="D252" s="1010" t="str">
        <f t="shared" si="61"/>
        <v>-</v>
      </c>
      <c r="E252" s="1329">
        <f t="shared" si="61"/>
        <v>0</v>
      </c>
      <c r="F252" s="1334">
        <f t="shared" si="53"/>
        <v>0</v>
      </c>
      <c r="G252" s="1334">
        <f t="shared" si="54"/>
        <v>0</v>
      </c>
      <c r="H252" s="1334">
        <f t="shared" si="55"/>
        <v>0</v>
      </c>
      <c r="I252" s="1327">
        <v>0</v>
      </c>
      <c r="J252" s="1327">
        <v>0</v>
      </c>
      <c r="K252" s="1334"/>
      <c r="L252" s="1334"/>
      <c r="M252" s="1334">
        <f t="shared" si="62"/>
        <v>0</v>
      </c>
      <c r="N252" s="1334">
        <f t="shared" si="57"/>
        <v>0</v>
      </c>
      <c r="O252" s="1013"/>
      <c r="P252" s="1013"/>
    </row>
    <row r="253" spans="1:16" ht="15.5" outlineLevel="1" x14ac:dyDescent="0.25">
      <c r="A253" s="1153">
        <f t="shared" si="61"/>
        <v>0</v>
      </c>
      <c r="B253" s="1154" t="str">
        <f t="shared" si="61"/>
        <v>Synchronising &amp; Line Breakers at HPS under REC, Pune</v>
      </c>
      <c r="C253" s="1160" t="str">
        <f t="shared" si="61"/>
        <v>(ii) Yet to be submitted to MERC</v>
      </c>
      <c r="D253" s="1325" t="str">
        <f t="shared" si="61"/>
        <v>-</v>
      </c>
      <c r="E253" s="1326">
        <f t="shared" si="61"/>
        <v>0</v>
      </c>
      <c r="F253" s="1335">
        <f t="shared" si="53"/>
        <v>0</v>
      </c>
      <c r="G253" s="1335">
        <f t="shared" si="54"/>
        <v>0</v>
      </c>
      <c r="H253" s="1335">
        <f t="shared" si="55"/>
        <v>0</v>
      </c>
      <c r="I253" s="1327">
        <v>0</v>
      </c>
      <c r="J253" s="1327">
        <v>0</v>
      </c>
      <c r="K253" s="1335"/>
      <c r="L253" s="1335"/>
      <c r="M253" s="1335">
        <f t="shared" si="62"/>
        <v>0</v>
      </c>
      <c r="N253" s="1335">
        <f t="shared" si="57"/>
        <v>0</v>
      </c>
      <c r="O253" s="1013"/>
      <c r="P253" s="1013"/>
    </row>
    <row r="254" spans="1:16" ht="31" outlineLevel="1" x14ac:dyDescent="0.25">
      <c r="A254" s="1160">
        <f t="shared" ref="A254:E269" si="63">A201</f>
        <v>0</v>
      </c>
      <c r="B254" s="1328" t="str">
        <f t="shared" si="63"/>
        <v>Digital Governor, Excitation (DAVR) with Auto sequencer at Ujjani HPS</v>
      </c>
      <c r="C254" s="1160" t="str">
        <f t="shared" si="63"/>
        <v>(ii) Yet to be submitted to MERC</v>
      </c>
      <c r="D254" s="1010" t="str">
        <f t="shared" si="63"/>
        <v>-</v>
      </c>
      <c r="E254" s="1329">
        <f t="shared" si="63"/>
        <v>0</v>
      </c>
      <c r="F254" s="1334">
        <f t="shared" si="53"/>
        <v>0</v>
      </c>
      <c r="G254" s="1334">
        <f t="shared" si="54"/>
        <v>0</v>
      </c>
      <c r="H254" s="1334">
        <f t="shared" si="55"/>
        <v>0</v>
      </c>
      <c r="I254" s="1327">
        <v>0</v>
      </c>
      <c r="J254" s="1327">
        <v>0</v>
      </c>
      <c r="K254" s="1334"/>
      <c r="L254" s="1334"/>
      <c r="M254" s="1334">
        <f t="shared" si="62"/>
        <v>0</v>
      </c>
      <c r="N254" s="1334">
        <f t="shared" si="57"/>
        <v>0</v>
      </c>
      <c r="O254" s="1013"/>
      <c r="P254" s="1013"/>
    </row>
    <row r="255" spans="1:16" ht="31" outlineLevel="1" x14ac:dyDescent="0.25">
      <c r="A255" s="1160">
        <f t="shared" si="63"/>
        <v>0</v>
      </c>
      <c r="B255" s="1328" t="str">
        <f t="shared" si="63"/>
        <v>Supply of station battery sets at Panshet, Varasgaon, Pawana, Dhom, Terwanmedhe</v>
      </c>
      <c r="C255" s="1160" t="str">
        <f t="shared" si="63"/>
        <v>(ii) Yet to be submitted to MERC</v>
      </c>
      <c r="D255" s="1010" t="str">
        <f t="shared" si="63"/>
        <v>-</v>
      </c>
      <c r="E255" s="1329">
        <f t="shared" si="63"/>
        <v>0</v>
      </c>
      <c r="F255" s="1334">
        <f t="shared" si="53"/>
        <v>0</v>
      </c>
      <c r="G255" s="1334">
        <f t="shared" si="54"/>
        <v>0</v>
      </c>
      <c r="H255" s="1334">
        <f t="shared" si="55"/>
        <v>0</v>
      </c>
      <c r="I255" s="1327">
        <v>0</v>
      </c>
      <c r="J255" s="1327">
        <v>0</v>
      </c>
      <c r="K255" s="1334"/>
      <c r="L255" s="1334"/>
      <c r="M255" s="1334">
        <f t="shared" si="62"/>
        <v>0</v>
      </c>
      <c r="N255" s="1334">
        <f t="shared" si="57"/>
        <v>0</v>
      </c>
    </row>
    <row r="256" spans="1:16" ht="31" outlineLevel="1" x14ac:dyDescent="0.25">
      <c r="A256" s="1160">
        <f t="shared" si="63"/>
        <v>0</v>
      </c>
      <c r="B256" s="1328" t="str">
        <f t="shared" si="63"/>
        <v>Digital Governor, Excitation (DAVR) with Auto sequencer at Dhom HPS</v>
      </c>
      <c r="C256" s="1160" t="str">
        <f t="shared" si="63"/>
        <v>(ii) Yet to be submitted to MERC</v>
      </c>
      <c r="D256" s="1010" t="str">
        <f t="shared" si="63"/>
        <v>-</v>
      </c>
      <c r="E256" s="1329">
        <f t="shared" si="63"/>
        <v>0</v>
      </c>
      <c r="F256" s="1334">
        <f t="shared" si="53"/>
        <v>0</v>
      </c>
      <c r="G256" s="1334">
        <f t="shared" si="54"/>
        <v>0</v>
      </c>
      <c r="H256" s="1334">
        <f t="shared" si="55"/>
        <v>0</v>
      </c>
      <c r="I256" s="1327">
        <v>0</v>
      </c>
      <c r="J256" s="1327">
        <v>0</v>
      </c>
      <c r="K256" s="1334"/>
      <c r="L256" s="1334"/>
      <c r="M256" s="1334">
        <f t="shared" si="62"/>
        <v>0</v>
      </c>
      <c r="N256" s="1334">
        <f t="shared" si="57"/>
        <v>0</v>
      </c>
    </row>
    <row r="257" spans="1:16" ht="15.5" outlineLevel="1" x14ac:dyDescent="0.25">
      <c r="A257" s="1160">
        <f t="shared" si="63"/>
        <v>0</v>
      </c>
      <c r="B257" s="1328" t="str">
        <f t="shared" si="63"/>
        <v>R &amp; M of Bhatghar HPS</v>
      </c>
      <c r="C257" s="1160" t="str">
        <f t="shared" si="63"/>
        <v>(ii) Yet to be submitted to MERC</v>
      </c>
      <c r="D257" s="1010" t="str">
        <f t="shared" si="63"/>
        <v>-</v>
      </c>
      <c r="E257" s="1329">
        <f t="shared" si="63"/>
        <v>0</v>
      </c>
      <c r="F257" s="1334">
        <f t="shared" si="53"/>
        <v>0</v>
      </c>
      <c r="G257" s="1334">
        <f t="shared" si="54"/>
        <v>0</v>
      </c>
      <c r="H257" s="1334">
        <f t="shared" si="55"/>
        <v>0</v>
      </c>
      <c r="I257" s="1327">
        <v>0</v>
      </c>
      <c r="J257" s="1327">
        <v>0</v>
      </c>
      <c r="K257" s="1334"/>
      <c r="L257" s="1334"/>
      <c r="M257" s="1334">
        <f t="shared" si="62"/>
        <v>0</v>
      </c>
      <c r="N257" s="1334">
        <f t="shared" si="57"/>
        <v>0</v>
      </c>
    </row>
    <row r="258" spans="1:16" ht="15.5" outlineLevel="1" x14ac:dyDescent="0.25">
      <c r="A258" s="1160">
        <f t="shared" si="63"/>
        <v>1.7</v>
      </c>
      <c r="B258" s="1328" t="str">
        <f t="shared" si="63"/>
        <v>DPR-8</v>
      </c>
      <c r="C258" s="1160">
        <f t="shared" si="63"/>
        <v>0</v>
      </c>
      <c r="D258" s="1010" t="str">
        <f t="shared" si="63"/>
        <v>-</v>
      </c>
      <c r="E258" s="1329">
        <f t="shared" si="63"/>
        <v>0</v>
      </c>
      <c r="F258" s="1334">
        <f t="shared" si="53"/>
        <v>0</v>
      </c>
      <c r="G258" s="1334">
        <f t="shared" si="54"/>
        <v>0</v>
      </c>
      <c r="H258" s="1334">
        <f t="shared" si="55"/>
        <v>0</v>
      </c>
      <c r="I258" s="1327">
        <v>0</v>
      </c>
      <c r="J258" s="1327">
        <v>0</v>
      </c>
      <c r="K258" s="1334"/>
      <c r="L258" s="1334"/>
      <c r="M258" s="1334">
        <f t="shared" si="62"/>
        <v>0</v>
      </c>
      <c r="N258" s="1334">
        <f t="shared" si="57"/>
        <v>0</v>
      </c>
    </row>
    <row r="259" spans="1:16" ht="31" outlineLevel="1" x14ac:dyDescent="0.25">
      <c r="A259" s="1160">
        <f t="shared" si="63"/>
        <v>0</v>
      </c>
      <c r="B259" s="1328" t="str">
        <f t="shared" si="63"/>
        <v>Gen. transformers for Dudhganga, Warana, Ujjani, Panshet, Varasgaon &amp; Pawana HPS</v>
      </c>
      <c r="C259" s="1160" t="str">
        <f t="shared" si="63"/>
        <v>(ii) Yet to be submitted to MERC</v>
      </c>
      <c r="D259" s="1010" t="str">
        <f t="shared" si="63"/>
        <v>-</v>
      </c>
      <c r="E259" s="1329">
        <f t="shared" si="63"/>
        <v>0</v>
      </c>
      <c r="F259" s="1334">
        <f t="shared" si="53"/>
        <v>0</v>
      </c>
      <c r="G259" s="1334">
        <f t="shared" si="54"/>
        <v>0</v>
      </c>
      <c r="H259" s="1334">
        <f t="shared" si="55"/>
        <v>0</v>
      </c>
      <c r="I259" s="1327">
        <v>0</v>
      </c>
      <c r="J259" s="1327">
        <v>0</v>
      </c>
      <c r="K259" s="1334"/>
      <c r="L259" s="1334"/>
      <c r="M259" s="1334">
        <f t="shared" si="62"/>
        <v>0</v>
      </c>
      <c r="N259" s="1334">
        <f t="shared" si="57"/>
        <v>0</v>
      </c>
    </row>
    <row r="260" spans="1:16" ht="15.5" outlineLevel="1" x14ac:dyDescent="0.25">
      <c r="A260" s="1160">
        <f t="shared" si="63"/>
        <v>0</v>
      </c>
      <c r="B260" s="1328">
        <f t="shared" si="63"/>
        <v>0</v>
      </c>
      <c r="C260" s="1160">
        <f t="shared" si="63"/>
        <v>0</v>
      </c>
      <c r="D260" s="1010" t="str">
        <f t="shared" si="63"/>
        <v>-</v>
      </c>
      <c r="E260" s="1329">
        <f t="shared" si="63"/>
        <v>0</v>
      </c>
      <c r="F260" s="1334">
        <f t="shared" si="53"/>
        <v>0</v>
      </c>
      <c r="G260" s="1334">
        <f t="shared" si="54"/>
        <v>0</v>
      </c>
      <c r="H260" s="1334">
        <f t="shared" si="55"/>
        <v>0</v>
      </c>
      <c r="I260" s="1327">
        <v>0</v>
      </c>
      <c r="J260" s="1327">
        <v>0</v>
      </c>
      <c r="K260" s="1334"/>
      <c r="L260" s="1334"/>
      <c r="M260" s="1334">
        <f t="shared" si="62"/>
        <v>0</v>
      </c>
      <c r="N260" s="1334">
        <f t="shared" si="57"/>
        <v>0</v>
      </c>
    </row>
    <row r="261" spans="1:16" ht="15.5" outlineLevel="1" x14ac:dyDescent="0.25">
      <c r="A261" s="1011">
        <f t="shared" si="63"/>
        <v>0</v>
      </c>
      <c r="B261" s="1012" t="str">
        <f t="shared" si="63"/>
        <v>B) Non-DPR Schemes</v>
      </c>
      <c r="C261" s="1011">
        <f t="shared" si="63"/>
        <v>0</v>
      </c>
      <c r="D261" s="1010" t="str">
        <f t="shared" si="63"/>
        <v>-</v>
      </c>
      <c r="E261" s="1330">
        <f t="shared" si="63"/>
        <v>0</v>
      </c>
      <c r="F261" s="1259">
        <f t="shared" si="53"/>
        <v>0</v>
      </c>
      <c r="G261" s="1259">
        <f t="shared" si="54"/>
        <v>0</v>
      </c>
      <c r="H261" s="1259">
        <f t="shared" si="55"/>
        <v>0</v>
      </c>
      <c r="I261" s="1327">
        <v>0</v>
      </c>
      <c r="J261" s="1327">
        <v>0</v>
      </c>
      <c r="K261" s="1259"/>
      <c r="L261" s="1259"/>
      <c r="M261" s="1259">
        <f t="shared" si="62"/>
        <v>0</v>
      </c>
      <c r="N261" s="1259">
        <f t="shared" si="57"/>
        <v>0</v>
      </c>
    </row>
    <row r="262" spans="1:16" ht="31" outlineLevel="1" x14ac:dyDescent="0.25">
      <c r="A262" s="1160">
        <f t="shared" si="63"/>
        <v>1</v>
      </c>
      <c r="B262" s="1328" t="str">
        <f t="shared" si="63"/>
        <v>Replacement of 220V/300 AH Tubular type Battery Set at Manikdoh HPS</v>
      </c>
      <c r="C262" s="1160" t="str">
        <f t="shared" si="63"/>
        <v>N.A.</v>
      </c>
      <c r="D262" s="1010" t="str">
        <f t="shared" si="63"/>
        <v>-</v>
      </c>
      <c r="E262" s="1329">
        <f t="shared" si="63"/>
        <v>0</v>
      </c>
      <c r="F262" s="1334">
        <f t="shared" si="53"/>
        <v>0.1138</v>
      </c>
      <c r="G262" s="1334">
        <f t="shared" si="54"/>
        <v>0.1138</v>
      </c>
      <c r="H262" s="1334">
        <f t="shared" si="55"/>
        <v>0</v>
      </c>
      <c r="I262" s="1327">
        <v>0</v>
      </c>
      <c r="J262" s="1327">
        <v>0</v>
      </c>
      <c r="K262" s="1334"/>
      <c r="L262" s="1334"/>
      <c r="M262" s="1334">
        <f t="shared" si="62"/>
        <v>0</v>
      </c>
      <c r="N262" s="1334">
        <f t="shared" si="57"/>
        <v>0</v>
      </c>
    </row>
    <row r="263" spans="1:16" ht="31" outlineLevel="1" x14ac:dyDescent="0.25">
      <c r="A263" s="1160">
        <f t="shared" si="63"/>
        <v>2</v>
      </c>
      <c r="B263" s="1328" t="str">
        <f t="shared" si="63"/>
        <v>Replacement of existing AVR by DAVR for Static Excitation System at Pawana HPS.</v>
      </c>
      <c r="C263" s="1160" t="str">
        <f t="shared" si="63"/>
        <v>N.A.</v>
      </c>
      <c r="D263" s="1010" t="str">
        <f t="shared" si="63"/>
        <v>-</v>
      </c>
      <c r="E263" s="1329">
        <f t="shared" si="63"/>
        <v>0</v>
      </c>
      <c r="F263" s="1334">
        <f t="shared" si="53"/>
        <v>1.01</v>
      </c>
      <c r="G263" s="1334">
        <f t="shared" si="54"/>
        <v>1.01</v>
      </c>
      <c r="H263" s="1334">
        <f t="shared" si="55"/>
        <v>0</v>
      </c>
      <c r="I263" s="1327">
        <v>0</v>
      </c>
      <c r="J263" s="1327">
        <v>0</v>
      </c>
      <c r="K263" s="1334"/>
      <c r="L263" s="1334"/>
      <c r="M263" s="1334">
        <f t="shared" si="62"/>
        <v>0</v>
      </c>
      <c r="N263" s="1334">
        <f t="shared" si="57"/>
        <v>0</v>
      </c>
    </row>
    <row r="264" spans="1:16" ht="15.5" outlineLevel="1" x14ac:dyDescent="0.25">
      <c r="A264" s="1160">
        <f t="shared" si="63"/>
        <v>3</v>
      </c>
      <c r="B264" s="1328" t="str">
        <f t="shared" si="63"/>
        <v>Retrofitting of 415 V LT Breakers at Kanher &amp; Dhom HPS.</v>
      </c>
      <c r="C264" s="1160" t="str">
        <f t="shared" si="63"/>
        <v>N.A.</v>
      </c>
      <c r="D264" s="1010" t="str">
        <f t="shared" si="63"/>
        <v>-</v>
      </c>
      <c r="E264" s="1329">
        <f t="shared" si="63"/>
        <v>0</v>
      </c>
      <c r="F264" s="1334">
        <f t="shared" si="53"/>
        <v>9.8743800000000007E-2</v>
      </c>
      <c r="G264" s="1334">
        <f t="shared" si="54"/>
        <v>9.8743800000000007E-2</v>
      </c>
      <c r="H264" s="1334">
        <f t="shared" si="55"/>
        <v>0</v>
      </c>
      <c r="I264" s="1327">
        <v>0</v>
      </c>
      <c r="J264" s="1327">
        <v>0</v>
      </c>
      <c r="K264" s="1334"/>
      <c r="L264" s="1334"/>
      <c r="M264" s="1334">
        <f t="shared" si="62"/>
        <v>0</v>
      </c>
      <c r="N264" s="1334">
        <f t="shared" si="57"/>
        <v>0</v>
      </c>
    </row>
    <row r="265" spans="1:16" ht="15.5" outlineLevel="1" x14ac:dyDescent="0.25">
      <c r="A265" s="1160">
        <f t="shared" si="63"/>
        <v>4</v>
      </c>
      <c r="B265" s="1328" t="str">
        <f t="shared" si="63"/>
        <v>Furniture &amp; Fixture General Asset</v>
      </c>
      <c r="C265" s="1160" t="str">
        <f t="shared" si="63"/>
        <v>N.A.</v>
      </c>
      <c r="D265" s="1010" t="str">
        <f t="shared" si="63"/>
        <v>-</v>
      </c>
      <c r="E265" s="1329">
        <f t="shared" si="63"/>
        <v>0</v>
      </c>
      <c r="F265" s="1334">
        <f t="shared" si="53"/>
        <v>1.0676536210000001</v>
      </c>
      <c r="G265" s="1334">
        <f t="shared" si="54"/>
        <v>1.0676536210000001</v>
      </c>
      <c r="H265" s="1334">
        <f t="shared" si="55"/>
        <v>0</v>
      </c>
      <c r="I265" s="1327">
        <v>0</v>
      </c>
      <c r="J265" s="1327">
        <v>0</v>
      </c>
      <c r="K265" s="1334"/>
      <c r="L265" s="1334"/>
      <c r="M265" s="1334">
        <f t="shared" si="62"/>
        <v>0</v>
      </c>
      <c r="N265" s="1334">
        <f t="shared" si="57"/>
        <v>0</v>
      </c>
    </row>
    <row r="266" spans="1:16" ht="15.5" outlineLevel="1" x14ac:dyDescent="0.25">
      <c r="A266" s="1160">
        <f t="shared" si="63"/>
        <v>5</v>
      </c>
      <c r="B266" s="1328" t="str">
        <f t="shared" si="63"/>
        <v>Electrical General Asset</v>
      </c>
      <c r="C266" s="1160" t="str">
        <f t="shared" si="63"/>
        <v>N.A.</v>
      </c>
      <c r="D266" s="1010" t="str">
        <f t="shared" si="63"/>
        <v>-</v>
      </c>
      <c r="E266" s="1329">
        <f t="shared" si="63"/>
        <v>0</v>
      </c>
      <c r="F266" s="1334">
        <f t="shared" si="53"/>
        <v>0.19467927899999998</v>
      </c>
      <c r="G266" s="1334">
        <f t="shared" si="54"/>
        <v>0.19467927899999998</v>
      </c>
      <c r="H266" s="1334">
        <f t="shared" si="55"/>
        <v>0</v>
      </c>
      <c r="I266" s="1327">
        <v>0</v>
      </c>
      <c r="J266" s="1327">
        <v>0</v>
      </c>
      <c r="K266" s="1334"/>
      <c r="L266" s="1334"/>
      <c r="M266" s="1334">
        <f t="shared" si="62"/>
        <v>0</v>
      </c>
      <c r="N266" s="1334">
        <f t="shared" si="57"/>
        <v>0</v>
      </c>
    </row>
    <row r="267" spans="1:16" ht="15.5" outlineLevel="1" x14ac:dyDescent="0.25">
      <c r="A267" s="1160">
        <f t="shared" si="63"/>
        <v>6</v>
      </c>
      <c r="B267" s="1328" t="str">
        <f t="shared" si="63"/>
        <v>Electronics General Asset</v>
      </c>
      <c r="C267" s="1160" t="str">
        <f t="shared" si="63"/>
        <v>N.A.</v>
      </c>
      <c r="D267" s="1010" t="str">
        <f t="shared" si="63"/>
        <v>-</v>
      </c>
      <c r="E267" s="1329">
        <f t="shared" si="63"/>
        <v>0</v>
      </c>
      <c r="F267" s="1334">
        <f t="shared" si="53"/>
        <v>0.27661271500000001</v>
      </c>
      <c r="G267" s="1334">
        <f t="shared" si="54"/>
        <v>0.27661271500000001</v>
      </c>
      <c r="H267" s="1334">
        <f t="shared" si="55"/>
        <v>0</v>
      </c>
      <c r="I267" s="1327">
        <v>0</v>
      </c>
      <c r="J267" s="1327">
        <v>0</v>
      </c>
      <c r="K267" s="1334"/>
      <c r="L267" s="1334"/>
      <c r="M267" s="1334">
        <f t="shared" si="62"/>
        <v>0</v>
      </c>
      <c r="N267" s="1334">
        <f t="shared" si="57"/>
        <v>0</v>
      </c>
    </row>
    <row r="268" spans="1:16" ht="15.5" outlineLevel="1" x14ac:dyDescent="0.25">
      <c r="A268" s="1160">
        <f t="shared" si="63"/>
        <v>7</v>
      </c>
      <c r="B268" s="1328" t="str">
        <f t="shared" si="63"/>
        <v>Vehicle General Asset</v>
      </c>
      <c r="C268" s="1160" t="str">
        <f t="shared" si="63"/>
        <v>N.A.</v>
      </c>
      <c r="D268" s="1010" t="str">
        <f t="shared" si="63"/>
        <v>-</v>
      </c>
      <c r="E268" s="1329">
        <f t="shared" si="63"/>
        <v>0</v>
      </c>
      <c r="F268" s="1334">
        <f t="shared" si="53"/>
        <v>0.17288522700000003</v>
      </c>
      <c r="G268" s="1334">
        <f t="shared" si="54"/>
        <v>0.17288522700000003</v>
      </c>
      <c r="H268" s="1334">
        <f t="shared" si="55"/>
        <v>0</v>
      </c>
      <c r="I268" s="1327">
        <v>0</v>
      </c>
      <c r="J268" s="1327">
        <v>0</v>
      </c>
      <c r="K268" s="1334"/>
      <c r="L268" s="1334"/>
      <c r="M268" s="1334">
        <f t="shared" si="62"/>
        <v>0</v>
      </c>
      <c r="N268" s="1334">
        <f t="shared" si="57"/>
        <v>0</v>
      </c>
    </row>
    <row r="269" spans="1:16" ht="31.5" outlineLevel="1" thickBot="1" x14ac:dyDescent="0.3">
      <c r="A269" s="1160">
        <f t="shared" si="63"/>
        <v>8</v>
      </c>
      <c r="B269" s="1328" t="str">
        <f t="shared" si="63"/>
        <v>Numerical protection system at Pawana Hydro Power Station</v>
      </c>
      <c r="C269" s="1160" t="str">
        <f t="shared" si="63"/>
        <v>N.A.</v>
      </c>
      <c r="D269" s="1010" t="str">
        <f t="shared" si="63"/>
        <v>-</v>
      </c>
      <c r="E269" s="1329">
        <f t="shared" si="63"/>
        <v>0</v>
      </c>
      <c r="F269" s="1334">
        <f t="shared" si="53"/>
        <v>0.33023999999999998</v>
      </c>
      <c r="G269" s="1334">
        <f t="shared" si="54"/>
        <v>0.33023999999999998</v>
      </c>
      <c r="H269" s="1334">
        <f t="shared" si="55"/>
        <v>0</v>
      </c>
      <c r="I269" s="1327">
        <v>0</v>
      </c>
      <c r="J269" s="1327">
        <v>0</v>
      </c>
      <c r="K269" s="1334"/>
      <c r="L269" s="1334"/>
      <c r="M269" s="1334">
        <f t="shared" si="62"/>
        <v>0</v>
      </c>
      <c r="N269" s="1334">
        <f t="shared" si="57"/>
        <v>0</v>
      </c>
    </row>
    <row r="270" spans="1:16" ht="16" thickBot="1" x14ac:dyDescent="0.3">
      <c r="A270" s="1009"/>
      <c r="B270" s="1008" t="str">
        <f t="shared" ref="B270" si="64">B217</f>
        <v>Total</v>
      </c>
      <c r="C270" s="1007"/>
      <c r="D270" s="1006"/>
      <c r="E270" s="1331"/>
      <c r="F270" s="1332">
        <f>SUM(F222:F269)</f>
        <v>54.410505660999995</v>
      </c>
      <c r="G270" s="1332">
        <f>SUM(G222:G269)</f>
        <v>42.340950940999996</v>
      </c>
      <c r="H270" s="1332">
        <f>SUM(H222:H269)</f>
        <v>12.069554720000001</v>
      </c>
      <c r="I270" s="1332">
        <f>SUM(I222:I269)</f>
        <v>33.14</v>
      </c>
      <c r="J270" s="1332">
        <f>SUM(J222:J269)</f>
        <v>33.14</v>
      </c>
      <c r="K270" s="1332">
        <f t="shared" ref="K270:N270" si="65">SUM(K222:K269)</f>
        <v>0</v>
      </c>
      <c r="L270" s="1332">
        <f t="shared" si="65"/>
        <v>0</v>
      </c>
      <c r="M270" s="1332">
        <f t="shared" si="65"/>
        <v>33.14</v>
      </c>
      <c r="N270" s="1332">
        <f t="shared" si="65"/>
        <v>12.069554720000001</v>
      </c>
    </row>
    <row r="271" spans="1:16" ht="15.5" x14ac:dyDescent="0.25">
      <c r="A271" s="1013"/>
      <c r="B271" s="1021"/>
      <c r="C271" s="1020"/>
      <c r="D271" s="1019"/>
      <c r="E271" s="1312"/>
      <c r="F271" s="1333"/>
      <c r="G271" s="1333"/>
      <c r="H271" s="1333"/>
      <c r="I271" s="1333"/>
      <c r="J271" s="1333"/>
      <c r="K271" s="1333"/>
      <c r="L271" s="1333"/>
      <c r="M271" s="1333"/>
      <c r="N271" s="1333"/>
      <c r="O271" s="1013"/>
      <c r="P271" s="1013"/>
    </row>
    <row r="272" spans="1:16" s="1013" customFormat="1" ht="15.5" x14ac:dyDescent="0.25">
      <c r="A272" s="1319"/>
      <c r="B272" s="1018" t="s">
        <v>945</v>
      </c>
      <c r="C272" s="1320"/>
      <c r="D272" s="1321"/>
      <c r="E272" s="1322"/>
      <c r="F272" s="1211"/>
      <c r="G272" s="1211"/>
      <c r="H272" s="1211"/>
      <c r="I272" s="1211"/>
      <c r="J272" s="1211"/>
      <c r="K272" s="1211"/>
      <c r="L272" s="1211"/>
      <c r="M272" s="1211"/>
      <c r="N272" s="1211"/>
    </row>
    <row r="273" spans="1:17" ht="15.5" outlineLevel="1" x14ac:dyDescent="0.35">
      <c r="A273" s="1319"/>
      <c r="B273" s="1017" t="str">
        <f t="shared" ref="B273:E288" si="66">B220</f>
        <v>a) DPR Schemes</v>
      </c>
      <c r="C273" s="1320"/>
      <c r="D273" s="1321"/>
      <c r="E273" s="1322"/>
      <c r="F273" s="1211"/>
      <c r="G273" s="1211"/>
      <c r="H273" s="1211"/>
      <c r="I273" s="1211"/>
      <c r="J273" s="1211"/>
      <c r="K273" s="1211"/>
      <c r="L273" s="1211"/>
      <c r="M273" s="1211"/>
      <c r="N273" s="1211"/>
      <c r="O273" s="1013"/>
      <c r="P273" s="1013"/>
    </row>
    <row r="274" spans="1:17" ht="15.5" outlineLevel="1" x14ac:dyDescent="0.25">
      <c r="A274" s="1150"/>
      <c r="B274" s="1150" t="str">
        <f t="shared" si="66"/>
        <v>(i) Submitted to MERC</v>
      </c>
      <c r="C274" s="1323"/>
      <c r="D274" s="1324"/>
      <c r="E274" s="1322"/>
      <c r="F274" s="1211"/>
      <c r="G274" s="1211"/>
      <c r="H274" s="1211"/>
      <c r="I274" s="1211"/>
      <c r="J274" s="1211"/>
      <c r="K274" s="1211"/>
      <c r="L274" s="1211"/>
      <c r="M274" s="1211"/>
      <c r="N274" s="1211"/>
      <c r="O274" s="1013"/>
      <c r="P274" s="1013"/>
    </row>
    <row r="275" spans="1:17" s="1013" customFormat="1" ht="31" outlineLevel="1" x14ac:dyDescent="0.25">
      <c r="A275" s="1153">
        <f t="shared" ref="A275:E290" si="67">A222</f>
        <v>2</v>
      </c>
      <c r="B275" s="1154" t="str">
        <f t="shared" si="66"/>
        <v>Various schemes of Hydro Power Stations at HPC Pune &amp; HPC Nasik</v>
      </c>
      <c r="C275" s="1153" t="str">
        <f t="shared" si="66"/>
        <v>MERC/TECH 12/CAPEX/20142015/00876</v>
      </c>
      <c r="D275" s="1325">
        <f t="shared" si="66"/>
        <v>41871</v>
      </c>
      <c r="E275" s="1326">
        <f t="shared" si="66"/>
        <v>1.5511999999999999</v>
      </c>
      <c r="F275" s="1327">
        <f t="shared" ref="F275:F322" si="68">F222+I222</f>
        <v>0</v>
      </c>
      <c r="G275" s="1327">
        <f t="shared" ref="G275:G322" si="69">G222+M222</f>
        <v>0</v>
      </c>
      <c r="H275" s="1327">
        <f t="shared" ref="H275:H322" si="70">F275-G275</f>
        <v>0</v>
      </c>
      <c r="I275" s="1327">
        <v>0</v>
      </c>
      <c r="J275" s="1327">
        <v>0</v>
      </c>
      <c r="K275" s="1327"/>
      <c r="L275" s="1327"/>
      <c r="M275" s="1327">
        <f t="shared" ref="M275" si="71">SUM(J275:L275)</f>
        <v>0</v>
      </c>
      <c r="N275" s="1327">
        <f t="shared" ref="N275:N322" si="72">H275+I275-M275</f>
        <v>0</v>
      </c>
      <c r="O275" s="1159">
        <f t="shared" ref="O275:O297" si="73">MAX(0,IF(M275=0,0,IF(G275+M275&lt;E275,M275,E275-G275)))</f>
        <v>0</v>
      </c>
      <c r="P275" s="1014">
        <f t="shared" ref="P275:P297" si="74">M275-O275</f>
        <v>0</v>
      </c>
    </row>
    <row r="276" spans="1:17" ht="31" outlineLevel="1" x14ac:dyDescent="0.25">
      <c r="A276" s="1160">
        <f t="shared" si="67"/>
        <v>2.4</v>
      </c>
      <c r="B276" s="1328" t="str">
        <f t="shared" si="66"/>
        <v>Replacement of existing AVR by SEE DVR system for Varasgaon Hydro Power Station.</v>
      </c>
      <c r="C276" s="1160" t="str">
        <f t="shared" si="66"/>
        <v>MERC/TECH 12/CAPEX/20142015/00876</v>
      </c>
      <c r="D276" s="1010">
        <f t="shared" si="66"/>
        <v>41871</v>
      </c>
      <c r="E276" s="1329">
        <f t="shared" si="66"/>
        <v>0.52</v>
      </c>
      <c r="F276" s="1334">
        <f t="shared" si="68"/>
        <v>0.30932749999999998</v>
      </c>
      <c r="G276" s="1334">
        <f t="shared" si="69"/>
        <v>0.30932749999999998</v>
      </c>
      <c r="H276" s="1334">
        <f t="shared" si="70"/>
        <v>0</v>
      </c>
      <c r="I276" s="1327">
        <v>0</v>
      </c>
      <c r="J276" s="1327">
        <v>0</v>
      </c>
      <c r="K276" s="1334"/>
      <c r="L276" s="1334"/>
      <c r="M276" s="1334">
        <f t="shared" ref="M276:M296" si="75">SUM(J276:L276)</f>
        <v>0</v>
      </c>
      <c r="N276" s="1334">
        <f t="shared" si="72"/>
        <v>0</v>
      </c>
      <c r="O276" s="1159">
        <f t="shared" si="73"/>
        <v>0</v>
      </c>
      <c r="P276" s="1014">
        <f t="shared" si="74"/>
        <v>0</v>
      </c>
    </row>
    <row r="277" spans="1:17" ht="31" outlineLevel="1" x14ac:dyDescent="0.25">
      <c r="A277" s="1160">
        <f t="shared" si="67"/>
        <v>2.5</v>
      </c>
      <c r="B277" s="1328" t="str">
        <f t="shared" si="66"/>
        <v xml:space="preserve"> Construction of Resthouse at Dimbhe HPS</v>
      </c>
      <c r="C277" s="1160" t="str">
        <f t="shared" si="66"/>
        <v>MERC/TECH 12/CAPEX/20142015/00876</v>
      </c>
      <c r="D277" s="1010">
        <f t="shared" si="66"/>
        <v>41871</v>
      </c>
      <c r="E277" s="1329">
        <f t="shared" si="66"/>
        <v>0.7</v>
      </c>
      <c r="F277" s="1334">
        <f t="shared" si="68"/>
        <v>0.73791230399999996</v>
      </c>
      <c r="G277" s="1334">
        <f t="shared" si="69"/>
        <v>0.73791230399999996</v>
      </c>
      <c r="H277" s="1334">
        <f t="shared" si="70"/>
        <v>0</v>
      </c>
      <c r="I277" s="1327">
        <v>0</v>
      </c>
      <c r="J277" s="1327">
        <v>0</v>
      </c>
      <c r="K277" s="1334"/>
      <c r="L277" s="1334"/>
      <c r="M277" s="1334">
        <f t="shared" si="75"/>
        <v>0</v>
      </c>
      <c r="N277" s="1334">
        <f t="shared" si="72"/>
        <v>0</v>
      </c>
      <c r="O277" s="1159">
        <f t="shared" si="73"/>
        <v>0</v>
      </c>
      <c r="P277" s="1014">
        <f t="shared" si="74"/>
        <v>0</v>
      </c>
      <c r="Q277" s="1013"/>
    </row>
    <row r="278" spans="1:17" ht="31" outlineLevel="1" x14ac:dyDescent="0.25">
      <c r="A278" s="1160">
        <f t="shared" si="67"/>
        <v>0</v>
      </c>
      <c r="B278" s="1328" t="str">
        <f t="shared" si="66"/>
        <v>IDC</v>
      </c>
      <c r="C278" s="1160" t="str">
        <f t="shared" si="66"/>
        <v>MERC/TECH 12/CAPEX/20142015/00876</v>
      </c>
      <c r="D278" s="1010">
        <f t="shared" si="66"/>
        <v>41871</v>
      </c>
      <c r="E278" s="1329">
        <f t="shared" si="66"/>
        <v>0.33119999999999999</v>
      </c>
      <c r="F278" s="1334">
        <f t="shared" si="68"/>
        <v>0</v>
      </c>
      <c r="G278" s="1334">
        <f t="shared" si="69"/>
        <v>0</v>
      </c>
      <c r="H278" s="1334">
        <f t="shared" si="70"/>
        <v>0</v>
      </c>
      <c r="I278" s="1327">
        <v>0</v>
      </c>
      <c r="J278" s="1327">
        <v>0</v>
      </c>
      <c r="K278" s="1334"/>
      <c r="L278" s="1334"/>
      <c r="M278" s="1334">
        <f t="shared" si="75"/>
        <v>0</v>
      </c>
      <c r="N278" s="1334">
        <f t="shared" si="72"/>
        <v>0</v>
      </c>
      <c r="O278" s="1159">
        <f t="shared" si="73"/>
        <v>0</v>
      </c>
      <c r="P278" s="1014">
        <f t="shared" si="74"/>
        <v>0</v>
      </c>
      <c r="Q278" s="1013"/>
    </row>
    <row r="279" spans="1:17" s="1013" customFormat="1" ht="31" outlineLevel="1" x14ac:dyDescent="0.25">
      <c r="A279" s="1153">
        <f t="shared" si="67"/>
        <v>5</v>
      </c>
      <c r="B279" s="1154" t="str">
        <f t="shared" si="66"/>
        <v>Various Civil schemes for Modernisations of colonies at Various Locations under Pune HPC</v>
      </c>
      <c r="C279" s="1153" t="str">
        <f t="shared" si="66"/>
        <v>MERC/CAPEX/20162017/01745</v>
      </c>
      <c r="D279" s="1325">
        <f t="shared" si="66"/>
        <v>42825</v>
      </c>
      <c r="E279" s="1326">
        <f t="shared" si="66"/>
        <v>12.812999999999999</v>
      </c>
      <c r="F279" s="1327">
        <f t="shared" si="68"/>
        <v>0</v>
      </c>
      <c r="G279" s="1327">
        <f t="shared" si="69"/>
        <v>0</v>
      </c>
      <c r="H279" s="1327">
        <f t="shared" si="70"/>
        <v>0</v>
      </c>
      <c r="I279" s="1327">
        <v>0</v>
      </c>
      <c r="J279" s="1327">
        <v>0</v>
      </c>
      <c r="K279" s="1327"/>
      <c r="L279" s="1327"/>
      <c r="M279" s="1327">
        <f t="shared" si="75"/>
        <v>0</v>
      </c>
      <c r="N279" s="1327">
        <f t="shared" si="72"/>
        <v>0</v>
      </c>
      <c r="O279" s="1159">
        <f t="shared" si="73"/>
        <v>0</v>
      </c>
      <c r="P279" s="1014">
        <f t="shared" si="74"/>
        <v>0</v>
      </c>
    </row>
    <row r="280" spans="1:17" ht="15.5" outlineLevel="1" x14ac:dyDescent="0.25">
      <c r="A280" s="1160">
        <f t="shared" si="67"/>
        <v>5.0999999999999996</v>
      </c>
      <c r="B280" s="1328" t="str">
        <f t="shared" si="66"/>
        <v>Refurbishing of Residential complex</v>
      </c>
      <c r="C280" s="1160" t="str">
        <f t="shared" si="66"/>
        <v>MERC/CAPEX/20162017/01745</v>
      </c>
      <c r="D280" s="1010">
        <f t="shared" si="66"/>
        <v>42825</v>
      </c>
      <c r="E280" s="1329">
        <f t="shared" si="66"/>
        <v>2.415</v>
      </c>
      <c r="F280" s="1334">
        <f t="shared" si="68"/>
        <v>1.2675034840000001</v>
      </c>
      <c r="G280" s="1334">
        <f t="shared" si="69"/>
        <v>1.2675034840000001</v>
      </c>
      <c r="H280" s="1334">
        <f t="shared" si="70"/>
        <v>0</v>
      </c>
      <c r="I280" s="1327">
        <v>0</v>
      </c>
      <c r="J280" s="1327">
        <v>0</v>
      </c>
      <c r="K280" s="1334"/>
      <c r="L280" s="1334"/>
      <c r="M280" s="1334">
        <f t="shared" si="75"/>
        <v>0</v>
      </c>
      <c r="N280" s="1334">
        <f t="shared" si="72"/>
        <v>0</v>
      </c>
      <c r="O280" s="1159">
        <f t="shared" si="73"/>
        <v>0</v>
      </c>
      <c r="P280" s="1014">
        <f t="shared" si="74"/>
        <v>0</v>
      </c>
      <c r="Q280" s="1013"/>
    </row>
    <row r="281" spans="1:17" ht="15.5" outlineLevel="1" x14ac:dyDescent="0.25">
      <c r="A281" s="1160">
        <f t="shared" si="67"/>
        <v>5.2</v>
      </c>
      <c r="B281" s="1328" t="str">
        <f t="shared" si="66"/>
        <v>Internal Roads</v>
      </c>
      <c r="C281" s="1160" t="str">
        <f t="shared" si="66"/>
        <v>MERC/CAPEX/20162017/01745</v>
      </c>
      <c r="D281" s="1010">
        <f t="shared" si="66"/>
        <v>42825</v>
      </c>
      <c r="E281" s="1329">
        <f t="shared" si="66"/>
        <v>2.29</v>
      </c>
      <c r="F281" s="1334">
        <f t="shared" si="68"/>
        <v>1.6182413759999996</v>
      </c>
      <c r="G281" s="1334">
        <f t="shared" si="69"/>
        <v>1.6182413759999998</v>
      </c>
      <c r="H281" s="1334">
        <f t="shared" si="70"/>
        <v>0</v>
      </c>
      <c r="I281" s="1327">
        <v>0</v>
      </c>
      <c r="J281" s="1327">
        <v>0</v>
      </c>
      <c r="K281" s="1334"/>
      <c r="L281" s="1334"/>
      <c r="M281" s="1334">
        <f t="shared" si="75"/>
        <v>0</v>
      </c>
      <c r="N281" s="1334">
        <f t="shared" si="72"/>
        <v>0</v>
      </c>
      <c r="O281" s="1159">
        <f t="shared" si="73"/>
        <v>0</v>
      </c>
      <c r="P281" s="1014">
        <f t="shared" si="74"/>
        <v>0</v>
      </c>
      <c r="Q281" s="1013"/>
    </row>
    <row r="282" spans="1:17" ht="15.5" outlineLevel="1" x14ac:dyDescent="0.25">
      <c r="A282" s="1160">
        <f t="shared" si="67"/>
        <v>5.3</v>
      </c>
      <c r="B282" s="1328" t="str">
        <f t="shared" si="66"/>
        <v>Water supply, filteration &amp;  Sanitary works</v>
      </c>
      <c r="C282" s="1160" t="str">
        <f t="shared" si="66"/>
        <v>MERC/CAPEX/20162017/01745</v>
      </c>
      <c r="D282" s="1010">
        <f t="shared" si="66"/>
        <v>42825</v>
      </c>
      <c r="E282" s="1329">
        <f t="shared" si="66"/>
        <v>1.427</v>
      </c>
      <c r="F282" s="1334">
        <f t="shared" si="68"/>
        <v>0.57282329500000007</v>
      </c>
      <c r="G282" s="1334">
        <f t="shared" si="69"/>
        <v>0.57282329500000007</v>
      </c>
      <c r="H282" s="1334">
        <f t="shared" si="70"/>
        <v>0</v>
      </c>
      <c r="I282" s="1327">
        <v>0</v>
      </c>
      <c r="J282" s="1327">
        <v>0</v>
      </c>
      <c r="K282" s="1334"/>
      <c r="L282" s="1334"/>
      <c r="M282" s="1334">
        <f t="shared" si="75"/>
        <v>0</v>
      </c>
      <c r="N282" s="1334">
        <f t="shared" si="72"/>
        <v>0</v>
      </c>
      <c r="O282" s="1159">
        <f t="shared" si="73"/>
        <v>0</v>
      </c>
      <c r="P282" s="1014">
        <f t="shared" si="74"/>
        <v>0</v>
      </c>
      <c r="Q282" s="1013"/>
    </row>
    <row r="283" spans="1:17" ht="15.5" outlineLevel="1" x14ac:dyDescent="0.25">
      <c r="A283" s="1160">
        <f t="shared" si="67"/>
        <v>5.4</v>
      </c>
      <c r="B283" s="1328" t="str">
        <f t="shared" si="66"/>
        <v>Compound walls</v>
      </c>
      <c r="C283" s="1160" t="str">
        <f t="shared" si="66"/>
        <v>MERC/CAPEX/20162017/01745</v>
      </c>
      <c r="D283" s="1010">
        <f t="shared" si="66"/>
        <v>42825</v>
      </c>
      <c r="E283" s="1329">
        <f t="shared" si="66"/>
        <v>6.681</v>
      </c>
      <c r="F283" s="1334">
        <f t="shared" si="68"/>
        <v>7.5560763239999993</v>
      </c>
      <c r="G283" s="1334">
        <f t="shared" si="69"/>
        <v>7.5560763239999993</v>
      </c>
      <c r="H283" s="1334">
        <f t="shared" si="70"/>
        <v>0</v>
      </c>
      <c r="I283" s="1327">
        <v>0</v>
      </c>
      <c r="J283" s="1327">
        <v>0</v>
      </c>
      <c r="K283" s="1334"/>
      <c r="L283" s="1334"/>
      <c r="M283" s="1334">
        <f t="shared" si="75"/>
        <v>0</v>
      </c>
      <c r="N283" s="1334">
        <f t="shared" si="72"/>
        <v>0</v>
      </c>
      <c r="O283" s="1159">
        <f t="shared" si="73"/>
        <v>0</v>
      </c>
      <c r="P283" s="1014">
        <f t="shared" si="74"/>
        <v>0</v>
      </c>
      <c r="Q283" s="1013">
        <v>-2.3408937000000074E-2</v>
      </c>
    </row>
    <row r="284" spans="1:17" s="1013" customFormat="1" ht="31" outlineLevel="1" x14ac:dyDescent="0.25">
      <c r="A284" s="1153">
        <f t="shared" si="67"/>
        <v>14</v>
      </c>
      <c r="B284" s="1154" t="str">
        <f t="shared" si="66"/>
        <v>Various 14 Nos. of schemes for Hydro Power Stations under Renewable Energy Circle, Pune &amp; Nasik</v>
      </c>
      <c r="C284" s="1153" t="str">
        <f t="shared" si="66"/>
        <v>MERC/CAPEX/2020-21/WFH/SBR/ 19</v>
      </c>
      <c r="D284" s="1325">
        <f t="shared" si="66"/>
        <v>44029</v>
      </c>
      <c r="E284" s="1326">
        <f t="shared" si="66"/>
        <v>1.9079999999999999</v>
      </c>
      <c r="F284" s="1327">
        <f t="shared" si="68"/>
        <v>0</v>
      </c>
      <c r="G284" s="1327">
        <f t="shared" si="69"/>
        <v>0</v>
      </c>
      <c r="H284" s="1327">
        <f t="shared" si="70"/>
        <v>0</v>
      </c>
      <c r="I284" s="1327">
        <v>0</v>
      </c>
      <c r="J284" s="1327">
        <v>0</v>
      </c>
      <c r="K284" s="1327"/>
      <c r="L284" s="1327"/>
      <c r="M284" s="1327">
        <f t="shared" si="75"/>
        <v>0</v>
      </c>
      <c r="N284" s="1327">
        <f t="shared" si="72"/>
        <v>0</v>
      </c>
      <c r="O284" s="1159">
        <f t="shared" si="73"/>
        <v>0</v>
      </c>
      <c r="P284" s="1014">
        <f t="shared" si="74"/>
        <v>0</v>
      </c>
    </row>
    <row r="285" spans="1:17" ht="31" outlineLevel="1" x14ac:dyDescent="0.25">
      <c r="A285" s="1160">
        <f t="shared" si="67"/>
        <v>14.1</v>
      </c>
      <c r="B285" s="1328" t="str">
        <f t="shared" si="66"/>
        <v>Schme-A: Retrofitting of 12 KV Breakers at Ujjani Hydro Power Station</v>
      </c>
      <c r="C285" s="1160" t="str">
        <f t="shared" si="66"/>
        <v>MERC/CAPEX/2020-21/WFH/SBR/ 19</v>
      </c>
      <c r="D285" s="1010">
        <f t="shared" si="66"/>
        <v>44029</v>
      </c>
      <c r="E285" s="1329">
        <f t="shared" si="66"/>
        <v>0.39500000000000002</v>
      </c>
      <c r="F285" s="1334">
        <f t="shared" si="68"/>
        <v>0.26762399999999997</v>
      </c>
      <c r="G285" s="1334">
        <f t="shared" si="69"/>
        <v>0.26762399999999997</v>
      </c>
      <c r="H285" s="1334">
        <f t="shared" si="70"/>
        <v>0</v>
      </c>
      <c r="I285" s="1327">
        <v>0</v>
      </c>
      <c r="J285" s="1327">
        <v>0</v>
      </c>
      <c r="K285" s="1334"/>
      <c r="L285" s="1334"/>
      <c r="M285" s="1334">
        <f t="shared" si="75"/>
        <v>0</v>
      </c>
      <c r="N285" s="1334">
        <f t="shared" si="72"/>
        <v>0</v>
      </c>
      <c r="O285" s="1159">
        <f t="shared" si="73"/>
        <v>0</v>
      </c>
      <c r="P285" s="1014">
        <f t="shared" si="74"/>
        <v>0</v>
      </c>
      <c r="Q285" s="1013"/>
    </row>
    <row r="286" spans="1:17" ht="31" outlineLevel="1" x14ac:dyDescent="0.25">
      <c r="A286" s="1160">
        <f t="shared" si="67"/>
        <v>14.3</v>
      </c>
      <c r="B286" s="1328" t="str">
        <f t="shared" si="66"/>
        <v>Schme-C :Replacement of existing Energy meters by 0.2S Class Energy meters at various HPS.</v>
      </c>
      <c r="C286" s="1160" t="str">
        <f t="shared" si="66"/>
        <v>MERC/CAPEX/2020-21/WFH/SBR/ 19</v>
      </c>
      <c r="D286" s="1010">
        <f t="shared" si="66"/>
        <v>44029</v>
      </c>
      <c r="E286" s="1329">
        <f t="shared" si="66"/>
        <v>0.10199999999999999</v>
      </c>
      <c r="F286" s="1334">
        <f t="shared" si="68"/>
        <v>9.6156000000000005E-2</v>
      </c>
      <c r="G286" s="1334">
        <f t="shared" si="69"/>
        <v>7.969248000000001E-2</v>
      </c>
      <c r="H286" s="1334">
        <f t="shared" si="70"/>
        <v>1.6463519999999995E-2</v>
      </c>
      <c r="I286" s="1327">
        <v>0</v>
      </c>
      <c r="J286" s="1327">
        <v>0</v>
      </c>
      <c r="K286" s="1334"/>
      <c r="L286" s="1334"/>
      <c r="M286" s="1334">
        <f t="shared" si="75"/>
        <v>0</v>
      </c>
      <c r="N286" s="1334">
        <f t="shared" si="72"/>
        <v>1.6463519999999995E-2</v>
      </c>
      <c r="O286" s="1159">
        <f t="shared" si="73"/>
        <v>0</v>
      </c>
      <c r="P286" s="1014">
        <f t="shared" si="74"/>
        <v>0</v>
      </c>
      <c r="Q286" s="1013"/>
    </row>
    <row r="287" spans="1:17" ht="31" outlineLevel="1" x14ac:dyDescent="0.25">
      <c r="A287" s="1160">
        <f t="shared" si="67"/>
        <v>14.4</v>
      </c>
      <c r="B287" s="1328" t="str">
        <f t="shared" si="66"/>
        <v>Schme-D: Providing Oil Filtration Machines for all Divisions of REC, Pune</v>
      </c>
      <c r="C287" s="1160" t="str">
        <f t="shared" si="66"/>
        <v>MERC/CAPEX/2020-21/WFH/SBR/ 19</v>
      </c>
      <c r="D287" s="1010">
        <f t="shared" si="66"/>
        <v>44029</v>
      </c>
      <c r="E287" s="1329">
        <f t="shared" si="66"/>
        <v>0.56100000000000005</v>
      </c>
      <c r="F287" s="1334">
        <f t="shared" si="68"/>
        <v>0.2723912</v>
      </c>
      <c r="G287" s="1334">
        <f t="shared" si="69"/>
        <v>0.2723912</v>
      </c>
      <c r="H287" s="1334">
        <f t="shared" si="70"/>
        <v>0</v>
      </c>
      <c r="I287" s="1327">
        <v>0</v>
      </c>
      <c r="J287" s="1327">
        <v>0</v>
      </c>
      <c r="K287" s="1334"/>
      <c r="L287" s="1334"/>
      <c r="M287" s="1334">
        <f t="shared" si="75"/>
        <v>0</v>
      </c>
      <c r="N287" s="1334">
        <f t="shared" si="72"/>
        <v>0</v>
      </c>
      <c r="O287" s="1159">
        <f t="shared" si="73"/>
        <v>0</v>
      </c>
      <c r="P287" s="1014">
        <f t="shared" si="74"/>
        <v>0</v>
      </c>
      <c r="Q287" s="1013"/>
    </row>
    <row r="288" spans="1:17" ht="15.5" outlineLevel="1" x14ac:dyDescent="0.25">
      <c r="A288" s="1160">
        <f t="shared" si="67"/>
        <v>0</v>
      </c>
      <c r="B288" s="1328" t="str">
        <f t="shared" si="66"/>
        <v>IDC</v>
      </c>
      <c r="C288" s="1160" t="str">
        <f t="shared" si="66"/>
        <v>MERC/CAPEX/2020-21/WFH/SBR/ 19</v>
      </c>
      <c r="D288" s="1010">
        <f t="shared" si="66"/>
        <v>44029</v>
      </c>
      <c r="E288" s="1329">
        <f t="shared" si="66"/>
        <v>0.85</v>
      </c>
      <c r="F288" s="1334">
        <f t="shared" si="68"/>
        <v>0</v>
      </c>
      <c r="G288" s="1334">
        <f t="shared" si="69"/>
        <v>0</v>
      </c>
      <c r="H288" s="1334">
        <f t="shared" si="70"/>
        <v>0</v>
      </c>
      <c r="I288" s="1327">
        <v>0</v>
      </c>
      <c r="J288" s="1327">
        <v>0</v>
      </c>
      <c r="K288" s="1334"/>
      <c r="L288" s="1334"/>
      <c r="M288" s="1334">
        <f t="shared" si="75"/>
        <v>0</v>
      </c>
      <c r="N288" s="1334">
        <f t="shared" si="72"/>
        <v>0</v>
      </c>
      <c r="O288" s="1159">
        <f t="shared" si="73"/>
        <v>0</v>
      </c>
      <c r="P288" s="1014">
        <f t="shared" si="74"/>
        <v>0</v>
      </c>
      <c r="Q288" s="1013"/>
    </row>
    <row r="289" spans="1:17" s="1013" customFormat="1" ht="31" outlineLevel="1" x14ac:dyDescent="0.25">
      <c r="A289" s="1153">
        <f t="shared" si="67"/>
        <v>16</v>
      </c>
      <c r="B289" s="1154" t="str">
        <f t="shared" si="67"/>
        <v>Various 6 Nos. Schemes for Hydro Power Stations under Renewable Energy Circle, Pune</v>
      </c>
      <c r="C289" s="1153" t="str">
        <f t="shared" si="67"/>
        <v>MERC/CAPEX/2020-2021/WFH/ SBR/22</v>
      </c>
      <c r="D289" s="1325">
        <f t="shared" si="67"/>
        <v>44037</v>
      </c>
      <c r="E289" s="1326">
        <f t="shared" si="67"/>
        <v>10.861000000000001</v>
      </c>
      <c r="F289" s="1327">
        <f t="shared" si="68"/>
        <v>0</v>
      </c>
      <c r="G289" s="1327">
        <f t="shared" si="69"/>
        <v>0</v>
      </c>
      <c r="H289" s="1327">
        <f t="shared" si="70"/>
        <v>0</v>
      </c>
      <c r="I289" s="1327">
        <v>0</v>
      </c>
      <c r="J289" s="1327">
        <v>0</v>
      </c>
      <c r="K289" s="1327"/>
      <c r="L289" s="1327"/>
      <c r="M289" s="1327">
        <f t="shared" si="75"/>
        <v>0</v>
      </c>
      <c r="N289" s="1327">
        <f t="shared" si="72"/>
        <v>0</v>
      </c>
      <c r="O289" s="1159">
        <f t="shared" si="73"/>
        <v>0</v>
      </c>
      <c r="P289" s="1014">
        <f t="shared" si="74"/>
        <v>0</v>
      </c>
    </row>
    <row r="290" spans="1:17" ht="31" outlineLevel="1" x14ac:dyDescent="0.25">
      <c r="A290" s="1160">
        <f t="shared" si="67"/>
        <v>16.100000000000001</v>
      </c>
      <c r="B290" s="1328" t="str">
        <f t="shared" si="67"/>
        <v>Replacement of existing Air Compressors at Bhira, Tilari, Pawana and Ujjani Hydro Power Stations under REC, Pune</v>
      </c>
      <c r="C290" s="1160" t="str">
        <f t="shared" si="67"/>
        <v>MERC/CAPEX/2020-2021/WFH/ SBR/22</v>
      </c>
      <c r="D290" s="1010">
        <f t="shared" si="67"/>
        <v>44037</v>
      </c>
      <c r="E290" s="1329">
        <f t="shared" si="67"/>
        <v>0.95099999999999996</v>
      </c>
      <c r="F290" s="1334">
        <f t="shared" si="68"/>
        <v>0.61</v>
      </c>
      <c r="G290" s="1334">
        <f t="shared" si="69"/>
        <v>0.61</v>
      </c>
      <c r="H290" s="1334">
        <f t="shared" si="70"/>
        <v>0</v>
      </c>
      <c r="I290" s="1327">
        <v>0</v>
      </c>
      <c r="J290" s="1327">
        <v>0</v>
      </c>
      <c r="K290" s="1334"/>
      <c r="L290" s="1334"/>
      <c r="M290" s="1334">
        <f t="shared" si="75"/>
        <v>0</v>
      </c>
      <c r="N290" s="1334">
        <f t="shared" si="72"/>
        <v>0</v>
      </c>
      <c r="O290" s="1159">
        <f t="shared" si="73"/>
        <v>0</v>
      </c>
      <c r="P290" s="1014">
        <f t="shared" si="74"/>
        <v>0</v>
      </c>
      <c r="Q290" s="1013"/>
    </row>
    <row r="291" spans="1:17" ht="62" outlineLevel="1" x14ac:dyDescent="0.25">
      <c r="A291" s="1160">
        <f t="shared" ref="A291:E306" si="76">A238</f>
        <v>16.2</v>
      </c>
      <c r="B291" s="1328" t="str">
        <f t="shared" si="76"/>
        <v>Replacement of existing Air conditioners of Plant Control Rooms at Ujjani, Warna, Kanher, Dhom, Dimbhe &amp; Dudhganga
HPS.</v>
      </c>
      <c r="C291" s="1160" t="str">
        <f t="shared" si="76"/>
        <v>MERC/CAPEX/2020-2021/WFH/ SBR/22</v>
      </c>
      <c r="D291" s="1010">
        <f t="shared" si="76"/>
        <v>44037</v>
      </c>
      <c r="E291" s="1329">
        <f t="shared" si="76"/>
        <v>0.29199999999999998</v>
      </c>
      <c r="F291" s="1334">
        <f t="shared" si="68"/>
        <v>0.25256440000000002</v>
      </c>
      <c r="G291" s="1334">
        <f t="shared" si="69"/>
        <v>0.25256440000000002</v>
      </c>
      <c r="H291" s="1334">
        <f t="shared" si="70"/>
        <v>0</v>
      </c>
      <c r="I291" s="1327">
        <v>0</v>
      </c>
      <c r="J291" s="1327">
        <v>0</v>
      </c>
      <c r="K291" s="1334"/>
      <c r="L291" s="1334"/>
      <c r="M291" s="1334">
        <f t="shared" si="75"/>
        <v>0</v>
      </c>
      <c r="N291" s="1334">
        <f t="shared" si="72"/>
        <v>0</v>
      </c>
      <c r="O291" s="1159">
        <f t="shared" si="73"/>
        <v>0</v>
      </c>
      <c r="P291" s="1014">
        <f t="shared" si="74"/>
        <v>0</v>
      </c>
      <c r="Q291" s="1013"/>
    </row>
    <row r="292" spans="1:17" ht="46.5" outlineLevel="1" x14ac:dyDescent="0.25">
      <c r="A292" s="1160">
        <f t="shared" si="76"/>
        <v>16.399999999999999</v>
      </c>
      <c r="B292" s="1328" t="str">
        <f t="shared" si="76"/>
        <v>Replacement of 220 V, 400/300 AH Battery set with Tubular type Battery Banks at Bhira, Tilari, Kanher, Dimbhe and Ujani Hydro Power Stations.</v>
      </c>
      <c r="C292" s="1160" t="str">
        <f t="shared" si="76"/>
        <v>MERC/CAPEX/2020-2021/WFH/ SBR/22</v>
      </c>
      <c r="D292" s="1010">
        <f t="shared" si="76"/>
        <v>44037</v>
      </c>
      <c r="E292" s="1329">
        <f t="shared" si="76"/>
        <v>0.89999999999999991</v>
      </c>
      <c r="F292" s="1334">
        <f t="shared" si="68"/>
        <v>0.35828399999999999</v>
      </c>
      <c r="G292" s="1334">
        <f t="shared" si="69"/>
        <v>0.35828399999999999</v>
      </c>
      <c r="H292" s="1334">
        <f t="shared" si="70"/>
        <v>0</v>
      </c>
      <c r="I292" s="1327">
        <v>0</v>
      </c>
      <c r="J292" s="1327">
        <v>0</v>
      </c>
      <c r="K292" s="1334"/>
      <c r="L292" s="1334"/>
      <c r="M292" s="1334">
        <f t="shared" si="75"/>
        <v>0</v>
      </c>
      <c r="N292" s="1334">
        <f t="shared" si="72"/>
        <v>0</v>
      </c>
      <c r="O292" s="1159">
        <f t="shared" si="73"/>
        <v>0</v>
      </c>
      <c r="P292" s="1014">
        <f t="shared" si="74"/>
        <v>0</v>
      </c>
      <c r="Q292" s="1013"/>
    </row>
    <row r="293" spans="1:17" ht="31" outlineLevel="1" x14ac:dyDescent="0.25">
      <c r="A293" s="1160">
        <f t="shared" si="76"/>
        <v>16.5</v>
      </c>
      <c r="B293" s="1328" t="str">
        <f t="shared" si="76"/>
        <v>Supply, installation and commissioning of Kaplan Turbine Runner Blades from BHEL (OEM) for Dudhganga U#1.</v>
      </c>
      <c r="C293" s="1160" t="str">
        <f t="shared" si="76"/>
        <v>MERC/CAPEX/2020-2021/WFH/ SBR/22</v>
      </c>
      <c r="D293" s="1010">
        <f t="shared" si="76"/>
        <v>44037</v>
      </c>
      <c r="E293" s="1329">
        <f t="shared" si="76"/>
        <v>4.657</v>
      </c>
      <c r="F293" s="1334">
        <f t="shared" si="68"/>
        <v>4.5730371359999999</v>
      </c>
      <c r="G293" s="1334">
        <f t="shared" si="69"/>
        <v>4.5799459359999997</v>
      </c>
      <c r="H293" s="1334">
        <f t="shared" si="70"/>
        <v>-6.9087999999997152E-3</v>
      </c>
      <c r="I293" s="1327">
        <v>0</v>
      </c>
      <c r="J293" s="1327">
        <v>0</v>
      </c>
      <c r="K293" s="1334"/>
      <c r="L293" s="1334"/>
      <c r="M293" s="1334">
        <f t="shared" si="75"/>
        <v>0</v>
      </c>
      <c r="N293" s="1334">
        <f t="shared" si="72"/>
        <v>-6.9087999999997152E-3</v>
      </c>
      <c r="O293" s="1159">
        <f t="shared" si="73"/>
        <v>0</v>
      </c>
      <c r="P293" s="1014">
        <f t="shared" si="74"/>
        <v>0</v>
      </c>
    </row>
    <row r="294" spans="1:17" ht="46.5" outlineLevel="1" x14ac:dyDescent="0.25">
      <c r="A294" s="1160">
        <f t="shared" si="76"/>
        <v>16.600000000000001</v>
      </c>
      <c r="B294" s="1328" t="str">
        <f t="shared" si="76"/>
        <v>Replacement of existing Protection Systems with Numerical Protection system at Bhira, Panshet, Varasgaon, Dimbhe &amp; Manikdoh HPS.</v>
      </c>
      <c r="C294" s="1160" t="str">
        <f t="shared" si="76"/>
        <v>MERC/CAPEX/2020-2021/WFH/ SBR/22</v>
      </c>
      <c r="D294" s="1010">
        <f t="shared" si="76"/>
        <v>44037</v>
      </c>
      <c r="E294" s="1329">
        <f t="shared" si="76"/>
        <v>3.6220000000000003</v>
      </c>
      <c r="F294" s="1334">
        <f t="shared" si="68"/>
        <v>2.13395</v>
      </c>
      <c r="G294" s="1334">
        <f t="shared" si="69"/>
        <v>2.13395</v>
      </c>
      <c r="H294" s="1334">
        <f t="shared" si="70"/>
        <v>0</v>
      </c>
      <c r="I294" s="1327">
        <v>0</v>
      </c>
      <c r="J294" s="1327">
        <v>0</v>
      </c>
      <c r="K294" s="1334"/>
      <c r="L294" s="1334"/>
      <c r="M294" s="1334">
        <f t="shared" si="75"/>
        <v>0</v>
      </c>
      <c r="N294" s="1334">
        <f t="shared" si="72"/>
        <v>0</v>
      </c>
      <c r="O294" s="1159">
        <f t="shared" si="73"/>
        <v>0</v>
      </c>
      <c r="P294" s="1014">
        <f t="shared" si="74"/>
        <v>0</v>
      </c>
    </row>
    <row r="295" spans="1:17" ht="31" outlineLevel="1" x14ac:dyDescent="0.25">
      <c r="A295" s="1160">
        <f t="shared" si="76"/>
        <v>0</v>
      </c>
      <c r="B295" s="1328" t="str">
        <f t="shared" si="76"/>
        <v>IDC</v>
      </c>
      <c r="C295" s="1160" t="str">
        <f t="shared" si="76"/>
        <v>MERC/CAPEX/2020-2021/WFH/ SBR/22</v>
      </c>
      <c r="D295" s="1010">
        <f t="shared" si="76"/>
        <v>44037</v>
      </c>
      <c r="E295" s="1329">
        <f t="shared" si="76"/>
        <v>0.439</v>
      </c>
      <c r="F295" s="1334">
        <f t="shared" si="68"/>
        <v>0</v>
      </c>
      <c r="G295" s="1334">
        <f t="shared" si="69"/>
        <v>0</v>
      </c>
      <c r="H295" s="1334">
        <f t="shared" si="70"/>
        <v>0</v>
      </c>
      <c r="I295" s="1327">
        <v>0</v>
      </c>
      <c r="J295" s="1327">
        <v>0</v>
      </c>
      <c r="K295" s="1334"/>
      <c r="L295" s="1334"/>
      <c r="M295" s="1334">
        <f t="shared" si="75"/>
        <v>0</v>
      </c>
      <c r="N295" s="1334">
        <f t="shared" si="72"/>
        <v>0</v>
      </c>
      <c r="O295" s="1159">
        <f t="shared" si="73"/>
        <v>0</v>
      </c>
      <c r="P295" s="1014">
        <f t="shared" si="74"/>
        <v>0</v>
      </c>
    </row>
    <row r="296" spans="1:17" ht="31" outlineLevel="1" x14ac:dyDescent="0.25">
      <c r="A296" s="1015">
        <f t="shared" si="76"/>
        <v>17</v>
      </c>
      <c r="B296" s="1016" t="str">
        <f t="shared" si="76"/>
        <v xml:space="preserve">Fortification near Panshet hydro power station for arresting rock falling on HPS Building at panshet . </v>
      </c>
      <c r="C296" s="1015" t="str">
        <f t="shared" si="76"/>
        <v xml:space="preserve">Not approved </v>
      </c>
      <c r="D296" s="1010" t="str">
        <f t="shared" si="76"/>
        <v>-</v>
      </c>
      <c r="E296" s="1330">
        <f t="shared" si="76"/>
        <v>0</v>
      </c>
      <c r="F296" s="1330">
        <f t="shared" si="68"/>
        <v>0</v>
      </c>
      <c r="G296" s="1330">
        <f t="shared" si="69"/>
        <v>0</v>
      </c>
      <c r="H296" s="1330">
        <f t="shared" si="70"/>
        <v>0</v>
      </c>
      <c r="I296" s="1327">
        <v>0</v>
      </c>
      <c r="J296" s="1327">
        <v>0</v>
      </c>
      <c r="K296" s="1330"/>
      <c r="L296" s="1330"/>
      <c r="M296" s="1330">
        <f t="shared" si="75"/>
        <v>0</v>
      </c>
      <c r="N296" s="1330">
        <f t="shared" si="72"/>
        <v>0</v>
      </c>
      <c r="O296" s="1159">
        <f t="shared" si="73"/>
        <v>0</v>
      </c>
      <c r="P296" s="1014">
        <f t="shared" si="74"/>
        <v>0</v>
      </c>
    </row>
    <row r="297" spans="1:17" ht="31" outlineLevel="1" x14ac:dyDescent="0.25">
      <c r="A297" s="1015">
        <f t="shared" si="76"/>
        <v>17.100000000000001</v>
      </c>
      <c r="B297" s="1016" t="str">
        <f t="shared" si="76"/>
        <v xml:space="preserve">Fortification near Panshet hydro power station for arresting rock falling on HPS Building at panshet . </v>
      </c>
      <c r="C297" s="1015" t="str">
        <f t="shared" si="76"/>
        <v xml:space="preserve">Not approved </v>
      </c>
      <c r="D297" s="1010" t="str">
        <f t="shared" si="76"/>
        <v>-</v>
      </c>
      <c r="E297" s="1330">
        <f t="shared" si="76"/>
        <v>0</v>
      </c>
      <c r="F297" s="1330">
        <f t="shared" si="68"/>
        <v>12.06</v>
      </c>
      <c r="G297" s="1330">
        <f t="shared" si="69"/>
        <v>0</v>
      </c>
      <c r="H297" s="1330">
        <f t="shared" si="70"/>
        <v>12.06</v>
      </c>
      <c r="I297" s="1327">
        <v>0</v>
      </c>
      <c r="J297" s="1327">
        <v>0</v>
      </c>
      <c r="K297" s="1330"/>
      <c r="L297" s="1330"/>
      <c r="M297" s="1330">
        <f t="shared" ref="M297:M322" si="77">SUM(J297:L297)</f>
        <v>0</v>
      </c>
      <c r="N297" s="1330">
        <f t="shared" si="72"/>
        <v>12.06</v>
      </c>
      <c r="O297" s="1159">
        <f t="shared" si="73"/>
        <v>0</v>
      </c>
      <c r="P297" s="1014">
        <f t="shared" si="74"/>
        <v>0</v>
      </c>
    </row>
    <row r="298" spans="1:17" ht="15.5" outlineLevel="1" x14ac:dyDescent="0.25">
      <c r="A298" s="1011">
        <f t="shared" si="76"/>
        <v>0</v>
      </c>
      <c r="B298" s="1150" t="str">
        <f t="shared" si="76"/>
        <v>(ii) Yet to be submitted to MERC</v>
      </c>
      <c r="C298" s="1011">
        <f t="shared" si="76"/>
        <v>0</v>
      </c>
      <c r="D298" s="1010" t="str">
        <f t="shared" si="76"/>
        <v>-</v>
      </c>
      <c r="E298" s="1330">
        <f t="shared" si="76"/>
        <v>0</v>
      </c>
      <c r="F298" s="1259">
        <f t="shared" si="68"/>
        <v>0</v>
      </c>
      <c r="G298" s="1259">
        <f t="shared" si="69"/>
        <v>0</v>
      </c>
      <c r="H298" s="1259">
        <f t="shared" si="70"/>
        <v>0</v>
      </c>
      <c r="I298" s="1327">
        <v>0</v>
      </c>
      <c r="J298" s="1327">
        <v>0</v>
      </c>
      <c r="K298" s="1259"/>
      <c r="L298" s="1259"/>
      <c r="M298" s="1259">
        <f t="shared" si="77"/>
        <v>0</v>
      </c>
      <c r="N298" s="1259">
        <f t="shared" si="72"/>
        <v>0</v>
      </c>
      <c r="O298" s="1013"/>
      <c r="P298" s="1013"/>
    </row>
    <row r="299" spans="1:17" ht="15.5" outlineLevel="1" x14ac:dyDescent="0.25">
      <c r="A299" s="1153">
        <f t="shared" si="76"/>
        <v>1</v>
      </c>
      <c r="B299" s="1154" t="str">
        <f t="shared" si="76"/>
        <v>DPR-5</v>
      </c>
      <c r="C299" s="1153" t="str">
        <f t="shared" si="76"/>
        <v>(ii) Yet to be submitted to MERC</v>
      </c>
      <c r="D299" s="1325" t="str">
        <f t="shared" si="76"/>
        <v>-</v>
      </c>
      <c r="E299" s="1326">
        <f t="shared" si="76"/>
        <v>0</v>
      </c>
      <c r="F299" s="1335">
        <f t="shared" si="68"/>
        <v>0</v>
      </c>
      <c r="G299" s="1335">
        <f t="shared" si="69"/>
        <v>0</v>
      </c>
      <c r="H299" s="1335">
        <f t="shared" si="70"/>
        <v>0</v>
      </c>
      <c r="I299" s="1327">
        <v>0</v>
      </c>
      <c r="J299" s="1327">
        <v>0</v>
      </c>
      <c r="K299" s="1335"/>
      <c r="L299" s="1335"/>
      <c r="M299" s="1335">
        <f t="shared" si="77"/>
        <v>0</v>
      </c>
      <c r="N299" s="1335">
        <f t="shared" si="72"/>
        <v>0</v>
      </c>
      <c r="O299" s="1013"/>
      <c r="P299" s="1013"/>
    </row>
    <row r="300" spans="1:17" ht="31" outlineLevel="1" x14ac:dyDescent="0.25">
      <c r="A300" s="1160">
        <f t="shared" si="76"/>
        <v>1.1000000000000001</v>
      </c>
      <c r="B300" s="1328" t="str">
        <f t="shared" si="76"/>
        <v>Supply, erection &amp; commissioning of Digital Governor and DAVR for Panshet HPS under REC, Pune</v>
      </c>
      <c r="C300" s="1160" t="str">
        <f t="shared" si="76"/>
        <v>(ii) Yet to be submitted to MERC</v>
      </c>
      <c r="D300" s="1010" t="str">
        <f t="shared" si="76"/>
        <v>-</v>
      </c>
      <c r="E300" s="1329">
        <f t="shared" si="76"/>
        <v>0</v>
      </c>
      <c r="F300" s="1334">
        <f t="shared" si="68"/>
        <v>4.5</v>
      </c>
      <c r="G300" s="1334">
        <f t="shared" si="69"/>
        <v>4.5</v>
      </c>
      <c r="H300" s="1334">
        <f t="shared" si="70"/>
        <v>0</v>
      </c>
      <c r="I300" s="1327">
        <v>0</v>
      </c>
      <c r="J300" s="1327">
        <v>0</v>
      </c>
      <c r="K300" s="1334"/>
      <c r="L300" s="1334"/>
      <c r="M300" s="1334">
        <f t="shared" si="77"/>
        <v>0</v>
      </c>
      <c r="N300" s="1334">
        <f t="shared" si="72"/>
        <v>0</v>
      </c>
      <c r="O300" s="1013"/>
      <c r="P300" s="1013"/>
    </row>
    <row r="301" spans="1:17" ht="31" outlineLevel="1" x14ac:dyDescent="0.25">
      <c r="A301" s="1160">
        <f t="shared" si="76"/>
        <v>1.2</v>
      </c>
      <c r="B301" s="1328" t="str">
        <f t="shared" si="76"/>
        <v xml:space="preserve">Supply, erection &amp; commissioning of Digital Governor, Excitation system (DAVR) at Warana &amp; Dudhganga HPS </v>
      </c>
      <c r="C301" s="1160" t="str">
        <f t="shared" si="76"/>
        <v>(ii) Yet to be submitted to MERC</v>
      </c>
      <c r="D301" s="1010" t="str">
        <f t="shared" si="76"/>
        <v>-</v>
      </c>
      <c r="E301" s="1329">
        <f t="shared" si="76"/>
        <v>0</v>
      </c>
      <c r="F301" s="1334">
        <f t="shared" si="68"/>
        <v>18.79</v>
      </c>
      <c r="G301" s="1334">
        <f t="shared" si="69"/>
        <v>18.79</v>
      </c>
      <c r="H301" s="1334">
        <f t="shared" si="70"/>
        <v>0</v>
      </c>
      <c r="I301" s="1327">
        <v>0</v>
      </c>
      <c r="J301" s="1327">
        <v>0</v>
      </c>
      <c r="K301" s="1334"/>
      <c r="L301" s="1334"/>
      <c r="M301" s="1334">
        <f t="shared" si="77"/>
        <v>0</v>
      </c>
      <c r="N301" s="1334">
        <f t="shared" si="72"/>
        <v>0</v>
      </c>
      <c r="O301" s="1013"/>
      <c r="P301" s="1013"/>
    </row>
    <row r="302" spans="1:17" ht="46.5" outlineLevel="1" x14ac:dyDescent="0.25">
      <c r="A302" s="1160">
        <f t="shared" si="76"/>
        <v>1.3</v>
      </c>
      <c r="B302" s="1328" t="str">
        <f t="shared" si="76"/>
        <v>Supply,erection &amp; commissioningof Governor, Excitation System (DAVR) and Autosequencer for Manikdoh, Kanher &amp; Dimbhe HPS.</v>
      </c>
      <c r="C302" s="1160" t="str">
        <f t="shared" si="76"/>
        <v>(ii) Yet to be submitted to MERC</v>
      </c>
      <c r="D302" s="1010" t="str">
        <f t="shared" si="76"/>
        <v>-</v>
      </c>
      <c r="E302" s="1329">
        <f t="shared" si="76"/>
        <v>0</v>
      </c>
      <c r="F302" s="1334">
        <f t="shared" si="68"/>
        <v>14.35</v>
      </c>
      <c r="G302" s="1334">
        <f t="shared" si="69"/>
        <v>14.35</v>
      </c>
      <c r="H302" s="1334">
        <f t="shared" si="70"/>
        <v>0</v>
      </c>
      <c r="I302" s="1327">
        <v>0</v>
      </c>
      <c r="J302" s="1327">
        <v>0</v>
      </c>
      <c r="K302" s="1334"/>
      <c r="L302" s="1334"/>
      <c r="M302" s="1334">
        <f t="shared" si="77"/>
        <v>0</v>
      </c>
      <c r="N302" s="1334">
        <f t="shared" si="72"/>
        <v>0</v>
      </c>
      <c r="O302" s="1013"/>
      <c r="P302" s="1013"/>
    </row>
    <row r="303" spans="1:17" ht="31" outlineLevel="1" x14ac:dyDescent="0.25">
      <c r="A303" s="1160">
        <f t="shared" si="76"/>
        <v>1.4</v>
      </c>
      <c r="B303" s="1328" t="str">
        <f t="shared" si="76"/>
        <v>Supply, erection &amp; commissioning of Digital Governor Pawana &amp; Varasgaon HPS</v>
      </c>
      <c r="C303" s="1160" t="str">
        <f t="shared" si="76"/>
        <v>(ii) Yet to be submitted to MERC</v>
      </c>
      <c r="D303" s="1010" t="str">
        <f t="shared" si="76"/>
        <v>-</v>
      </c>
      <c r="E303" s="1329">
        <f t="shared" si="76"/>
        <v>0</v>
      </c>
      <c r="F303" s="1334">
        <f t="shared" si="68"/>
        <v>6.74</v>
      </c>
      <c r="G303" s="1334">
        <f t="shared" si="69"/>
        <v>6.74</v>
      </c>
      <c r="H303" s="1334">
        <f t="shared" si="70"/>
        <v>0</v>
      </c>
      <c r="I303" s="1327">
        <v>0</v>
      </c>
      <c r="J303" s="1327">
        <v>0</v>
      </c>
      <c r="K303" s="1334"/>
      <c r="L303" s="1334"/>
      <c r="M303" s="1334">
        <f t="shared" si="77"/>
        <v>0</v>
      </c>
      <c r="N303" s="1334">
        <f t="shared" si="72"/>
        <v>0</v>
      </c>
      <c r="O303" s="1013"/>
      <c r="P303" s="1013"/>
    </row>
    <row r="304" spans="1:17" ht="46.5" outlineLevel="1" x14ac:dyDescent="0.25">
      <c r="A304" s="1160">
        <f t="shared" si="76"/>
        <v>1.5</v>
      </c>
      <c r="B304" s="1328" t="str">
        <f t="shared" si="76"/>
        <v>Upgradation of Protection system for Generator and Generator transformer at bhatghar,Dudhganga,Ujani,Warana,Kanher &amp; Dhom</v>
      </c>
      <c r="C304" s="1160" t="str">
        <f t="shared" si="76"/>
        <v>(ii) Yet to be submitted to MERC</v>
      </c>
      <c r="D304" s="1010" t="str">
        <f t="shared" si="76"/>
        <v>-</v>
      </c>
      <c r="E304" s="1329">
        <f t="shared" si="76"/>
        <v>0</v>
      </c>
      <c r="F304" s="1334">
        <f t="shared" si="68"/>
        <v>7.22</v>
      </c>
      <c r="G304" s="1334">
        <f t="shared" si="69"/>
        <v>7.22</v>
      </c>
      <c r="H304" s="1334">
        <f t="shared" si="70"/>
        <v>0</v>
      </c>
      <c r="I304" s="1327">
        <v>0</v>
      </c>
      <c r="J304" s="1327">
        <v>0</v>
      </c>
      <c r="K304" s="1334"/>
      <c r="L304" s="1334"/>
      <c r="M304" s="1334">
        <f t="shared" si="77"/>
        <v>0</v>
      </c>
      <c r="N304" s="1334">
        <f t="shared" si="72"/>
        <v>0</v>
      </c>
      <c r="O304" s="1013"/>
      <c r="P304" s="1013"/>
    </row>
    <row r="305" spans="1:16" ht="15.5" outlineLevel="1" x14ac:dyDescent="0.25">
      <c r="A305" s="1160">
        <f t="shared" si="76"/>
        <v>0</v>
      </c>
      <c r="B305" s="1328" t="str">
        <f t="shared" si="76"/>
        <v>DPR-6</v>
      </c>
      <c r="C305" s="1160">
        <f t="shared" si="76"/>
        <v>0</v>
      </c>
      <c r="D305" s="1010" t="str">
        <f t="shared" si="76"/>
        <v>-</v>
      </c>
      <c r="E305" s="1329">
        <f t="shared" si="76"/>
        <v>0</v>
      </c>
      <c r="F305" s="1334">
        <f t="shared" si="68"/>
        <v>0</v>
      </c>
      <c r="G305" s="1334">
        <f t="shared" si="69"/>
        <v>0</v>
      </c>
      <c r="H305" s="1334">
        <f t="shared" si="70"/>
        <v>0</v>
      </c>
      <c r="I305" s="1327">
        <v>0</v>
      </c>
      <c r="J305" s="1327">
        <v>0</v>
      </c>
      <c r="K305" s="1334"/>
      <c r="L305" s="1334"/>
      <c r="M305" s="1334">
        <f t="shared" si="77"/>
        <v>0</v>
      </c>
      <c r="N305" s="1334">
        <f t="shared" si="72"/>
        <v>0</v>
      </c>
      <c r="O305" s="1013"/>
      <c r="P305" s="1013"/>
    </row>
    <row r="306" spans="1:16" ht="15.5" outlineLevel="1" x14ac:dyDescent="0.25">
      <c r="A306" s="1153">
        <f t="shared" si="76"/>
        <v>0</v>
      </c>
      <c r="B306" s="1154" t="str">
        <f t="shared" si="76"/>
        <v>Synchronising &amp; Line Breakers at HPS under REC, Pune</v>
      </c>
      <c r="C306" s="1160" t="str">
        <f t="shared" si="76"/>
        <v>(ii) Yet to be submitted to MERC</v>
      </c>
      <c r="D306" s="1325" t="str">
        <f t="shared" si="76"/>
        <v>-</v>
      </c>
      <c r="E306" s="1326">
        <f t="shared" si="76"/>
        <v>0</v>
      </c>
      <c r="F306" s="1335">
        <f t="shared" si="68"/>
        <v>0</v>
      </c>
      <c r="G306" s="1335">
        <f t="shared" si="69"/>
        <v>0</v>
      </c>
      <c r="H306" s="1335">
        <f t="shared" si="70"/>
        <v>0</v>
      </c>
      <c r="I306" s="1327">
        <v>5.0999999999999996</v>
      </c>
      <c r="J306" s="1327">
        <v>5.0999999999999996</v>
      </c>
      <c r="K306" s="1335"/>
      <c r="L306" s="1335"/>
      <c r="M306" s="1335">
        <f t="shared" si="77"/>
        <v>5.0999999999999996</v>
      </c>
      <c r="N306" s="1335">
        <f t="shared" si="72"/>
        <v>0</v>
      </c>
      <c r="O306" s="1013"/>
      <c r="P306" s="1013"/>
    </row>
    <row r="307" spans="1:16" ht="31" outlineLevel="1" x14ac:dyDescent="0.25">
      <c r="A307" s="1160">
        <f t="shared" ref="A307:E322" si="78">A254</f>
        <v>0</v>
      </c>
      <c r="B307" s="1328" t="str">
        <f t="shared" si="78"/>
        <v>Digital Governor, Excitation (DAVR) with Auto sequencer at Ujjani HPS</v>
      </c>
      <c r="C307" s="1160" t="str">
        <f t="shared" si="78"/>
        <v>(ii) Yet to be submitted to MERC</v>
      </c>
      <c r="D307" s="1010" t="str">
        <f t="shared" si="78"/>
        <v>-</v>
      </c>
      <c r="E307" s="1329">
        <f t="shared" si="78"/>
        <v>0</v>
      </c>
      <c r="F307" s="1334">
        <f t="shared" si="68"/>
        <v>0</v>
      </c>
      <c r="G307" s="1334">
        <f t="shared" si="69"/>
        <v>0</v>
      </c>
      <c r="H307" s="1334">
        <f t="shared" si="70"/>
        <v>0</v>
      </c>
      <c r="I307" s="1327">
        <v>3.12</v>
      </c>
      <c r="J307" s="1327">
        <v>3.12</v>
      </c>
      <c r="K307" s="1334"/>
      <c r="L307" s="1334"/>
      <c r="M307" s="1334">
        <f t="shared" si="77"/>
        <v>3.12</v>
      </c>
      <c r="N307" s="1334">
        <f t="shared" si="72"/>
        <v>0</v>
      </c>
      <c r="O307" s="1013"/>
      <c r="P307" s="1013"/>
    </row>
    <row r="308" spans="1:16" ht="31" outlineLevel="1" x14ac:dyDescent="0.25">
      <c r="A308" s="1160">
        <f t="shared" si="78"/>
        <v>0</v>
      </c>
      <c r="B308" s="1328" t="str">
        <f t="shared" si="78"/>
        <v>Supply of station battery sets at Panshet, Varasgaon, Pawana, Dhom, Terwanmedhe</v>
      </c>
      <c r="C308" s="1160" t="str">
        <f t="shared" si="78"/>
        <v>(ii) Yet to be submitted to MERC</v>
      </c>
      <c r="D308" s="1010" t="str">
        <f t="shared" si="78"/>
        <v>-</v>
      </c>
      <c r="E308" s="1329">
        <f t="shared" si="78"/>
        <v>0</v>
      </c>
      <c r="F308" s="1334">
        <f t="shared" si="68"/>
        <v>0</v>
      </c>
      <c r="G308" s="1334">
        <f t="shared" si="69"/>
        <v>0</v>
      </c>
      <c r="H308" s="1334">
        <f t="shared" si="70"/>
        <v>0</v>
      </c>
      <c r="I308" s="1327">
        <v>1</v>
      </c>
      <c r="J308" s="1327">
        <v>1</v>
      </c>
      <c r="K308" s="1334"/>
      <c r="L308" s="1334"/>
      <c r="M308" s="1334">
        <f t="shared" si="77"/>
        <v>1</v>
      </c>
      <c r="N308" s="1334">
        <f t="shared" si="72"/>
        <v>0</v>
      </c>
    </row>
    <row r="309" spans="1:16" ht="31" outlineLevel="1" x14ac:dyDescent="0.25">
      <c r="A309" s="1160">
        <f t="shared" si="78"/>
        <v>0</v>
      </c>
      <c r="B309" s="1328" t="str">
        <f t="shared" si="78"/>
        <v>Digital Governor, Excitation (DAVR) with Auto sequencer at Dhom HPS</v>
      </c>
      <c r="C309" s="1160" t="str">
        <f t="shared" si="78"/>
        <v>(ii) Yet to be submitted to MERC</v>
      </c>
      <c r="D309" s="1010" t="str">
        <f t="shared" si="78"/>
        <v>-</v>
      </c>
      <c r="E309" s="1329">
        <f t="shared" si="78"/>
        <v>0</v>
      </c>
      <c r="F309" s="1334">
        <f t="shared" si="68"/>
        <v>0</v>
      </c>
      <c r="G309" s="1334">
        <f t="shared" si="69"/>
        <v>0</v>
      </c>
      <c r="H309" s="1334">
        <f t="shared" si="70"/>
        <v>0</v>
      </c>
      <c r="I309" s="1327">
        <v>6.22</v>
      </c>
      <c r="J309" s="1327">
        <v>6.22</v>
      </c>
      <c r="K309" s="1334"/>
      <c r="L309" s="1334"/>
      <c r="M309" s="1334">
        <f t="shared" si="77"/>
        <v>6.22</v>
      </c>
      <c r="N309" s="1334">
        <f t="shared" si="72"/>
        <v>0</v>
      </c>
    </row>
    <row r="310" spans="1:16" ht="15.5" outlineLevel="1" x14ac:dyDescent="0.25">
      <c r="A310" s="1160">
        <f t="shared" si="78"/>
        <v>0</v>
      </c>
      <c r="B310" s="1328" t="str">
        <f t="shared" si="78"/>
        <v>R &amp; M of Bhatghar HPS</v>
      </c>
      <c r="C310" s="1160" t="str">
        <f t="shared" si="78"/>
        <v>(ii) Yet to be submitted to MERC</v>
      </c>
      <c r="D310" s="1010" t="str">
        <f t="shared" si="78"/>
        <v>-</v>
      </c>
      <c r="E310" s="1329">
        <f t="shared" si="78"/>
        <v>0</v>
      </c>
      <c r="F310" s="1334">
        <f t="shared" si="68"/>
        <v>0</v>
      </c>
      <c r="G310" s="1334">
        <f t="shared" si="69"/>
        <v>0</v>
      </c>
      <c r="H310" s="1334">
        <f t="shared" si="70"/>
        <v>0</v>
      </c>
      <c r="I310" s="1327">
        <v>10</v>
      </c>
      <c r="J310" s="1327">
        <v>10</v>
      </c>
      <c r="K310" s="1334"/>
      <c r="L310" s="1334"/>
      <c r="M310" s="1334">
        <f t="shared" si="77"/>
        <v>10</v>
      </c>
      <c r="N310" s="1334">
        <f t="shared" si="72"/>
        <v>0</v>
      </c>
    </row>
    <row r="311" spans="1:16" ht="15.5" outlineLevel="1" x14ac:dyDescent="0.25">
      <c r="A311" s="1160">
        <f t="shared" si="78"/>
        <v>1.7</v>
      </c>
      <c r="B311" s="1328" t="str">
        <f t="shared" si="78"/>
        <v>DPR-8</v>
      </c>
      <c r="C311" s="1160">
        <f t="shared" si="78"/>
        <v>0</v>
      </c>
      <c r="D311" s="1010" t="str">
        <f t="shared" si="78"/>
        <v>-</v>
      </c>
      <c r="E311" s="1329">
        <f t="shared" si="78"/>
        <v>0</v>
      </c>
      <c r="F311" s="1334">
        <f t="shared" si="68"/>
        <v>0</v>
      </c>
      <c r="G311" s="1334">
        <f t="shared" si="69"/>
        <v>0</v>
      </c>
      <c r="H311" s="1334">
        <f t="shared" si="70"/>
        <v>0</v>
      </c>
      <c r="I311" s="1327">
        <v>0</v>
      </c>
      <c r="J311" s="1327">
        <v>0</v>
      </c>
      <c r="K311" s="1334"/>
      <c r="L311" s="1334"/>
      <c r="M311" s="1334">
        <f t="shared" si="77"/>
        <v>0</v>
      </c>
      <c r="N311" s="1334">
        <f t="shared" si="72"/>
        <v>0</v>
      </c>
    </row>
    <row r="312" spans="1:16" ht="31" outlineLevel="1" x14ac:dyDescent="0.25">
      <c r="A312" s="1160">
        <f t="shared" si="78"/>
        <v>0</v>
      </c>
      <c r="B312" s="1328" t="str">
        <f t="shared" si="78"/>
        <v>Gen. transformers for Dudhganga, Warana, Ujjani, Panshet, Varasgaon &amp; Pawana HPS</v>
      </c>
      <c r="C312" s="1160" t="str">
        <f t="shared" si="78"/>
        <v>(ii) Yet to be submitted to MERC</v>
      </c>
      <c r="D312" s="1010" t="str">
        <f t="shared" si="78"/>
        <v>-</v>
      </c>
      <c r="E312" s="1329">
        <f t="shared" si="78"/>
        <v>0</v>
      </c>
      <c r="F312" s="1334">
        <f t="shared" si="68"/>
        <v>0</v>
      </c>
      <c r="G312" s="1334">
        <f t="shared" si="69"/>
        <v>0</v>
      </c>
      <c r="H312" s="1334">
        <f t="shared" si="70"/>
        <v>0</v>
      </c>
      <c r="I312" s="1327">
        <v>0</v>
      </c>
      <c r="J312" s="1327">
        <v>0</v>
      </c>
      <c r="K312" s="1334"/>
      <c r="L312" s="1334"/>
      <c r="M312" s="1334">
        <f t="shared" si="77"/>
        <v>0</v>
      </c>
      <c r="N312" s="1334">
        <f t="shared" si="72"/>
        <v>0</v>
      </c>
    </row>
    <row r="313" spans="1:16" ht="15.5" outlineLevel="1" x14ac:dyDescent="0.25">
      <c r="A313" s="1160">
        <f t="shared" si="78"/>
        <v>0</v>
      </c>
      <c r="B313" s="1328">
        <f t="shared" si="78"/>
        <v>0</v>
      </c>
      <c r="C313" s="1160">
        <f t="shared" si="78"/>
        <v>0</v>
      </c>
      <c r="D313" s="1010" t="str">
        <f t="shared" si="78"/>
        <v>-</v>
      </c>
      <c r="E313" s="1329">
        <f t="shared" si="78"/>
        <v>0</v>
      </c>
      <c r="F313" s="1334">
        <f t="shared" si="68"/>
        <v>0</v>
      </c>
      <c r="G313" s="1334">
        <f t="shared" si="69"/>
        <v>0</v>
      </c>
      <c r="H313" s="1334">
        <f t="shared" si="70"/>
        <v>0</v>
      </c>
      <c r="I313" s="1327">
        <v>0</v>
      </c>
      <c r="J313" s="1327">
        <v>0</v>
      </c>
      <c r="K313" s="1334"/>
      <c r="L313" s="1334"/>
      <c r="M313" s="1334">
        <f t="shared" si="77"/>
        <v>0</v>
      </c>
      <c r="N313" s="1334">
        <f t="shared" si="72"/>
        <v>0</v>
      </c>
    </row>
    <row r="314" spans="1:16" ht="15.5" outlineLevel="1" x14ac:dyDescent="0.25">
      <c r="A314" s="1011">
        <f t="shared" si="78"/>
        <v>0</v>
      </c>
      <c r="B314" s="1012" t="str">
        <f t="shared" si="78"/>
        <v>B) Non-DPR Schemes</v>
      </c>
      <c r="C314" s="1011">
        <f t="shared" si="78"/>
        <v>0</v>
      </c>
      <c r="D314" s="1010" t="str">
        <f t="shared" si="78"/>
        <v>-</v>
      </c>
      <c r="E314" s="1330">
        <f t="shared" si="78"/>
        <v>0</v>
      </c>
      <c r="F314" s="1259">
        <f t="shared" si="68"/>
        <v>0</v>
      </c>
      <c r="G314" s="1259">
        <f t="shared" si="69"/>
        <v>0</v>
      </c>
      <c r="H314" s="1259">
        <f t="shared" si="70"/>
        <v>0</v>
      </c>
      <c r="I314" s="1327">
        <v>0</v>
      </c>
      <c r="J314" s="1327">
        <v>0</v>
      </c>
      <c r="K314" s="1259"/>
      <c r="L314" s="1259"/>
      <c r="M314" s="1259">
        <f t="shared" si="77"/>
        <v>0</v>
      </c>
      <c r="N314" s="1259">
        <f t="shared" si="72"/>
        <v>0</v>
      </c>
    </row>
    <row r="315" spans="1:16" ht="31" outlineLevel="1" x14ac:dyDescent="0.25">
      <c r="A315" s="1160">
        <f t="shared" si="78"/>
        <v>1</v>
      </c>
      <c r="B315" s="1328" t="str">
        <f t="shared" si="78"/>
        <v>Replacement of 220V/300 AH Tubular type Battery Set at Manikdoh HPS</v>
      </c>
      <c r="C315" s="1160" t="str">
        <f t="shared" si="78"/>
        <v>N.A.</v>
      </c>
      <c r="D315" s="1010" t="str">
        <f t="shared" si="78"/>
        <v>-</v>
      </c>
      <c r="E315" s="1329">
        <f t="shared" si="78"/>
        <v>0</v>
      </c>
      <c r="F315" s="1334">
        <f t="shared" si="68"/>
        <v>0.1138</v>
      </c>
      <c r="G315" s="1334">
        <f t="shared" si="69"/>
        <v>0.1138</v>
      </c>
      <c r="H315" s="1334">
        <f t="shared" si="70"/>
        <v>0</v>
      </c>
      <c r="I315" s="1327">
        <v>0</v>
      </c>
      <c r="J315" s="1327">
        <v>0</v>
      </c>
      <c r="K315" s="1334"/>
      <c r="L315" s="1334"/>
      <c r="M315" s="1334">
        <f t="shared" si="77"/>
        <v>0</v>
      </c>
      <c r="N315" s="1334">
        <f t="shared" si="72"/>
        <v>0</v>
      </c>
    </row>
    <row r="316" spans="1:16" ht="31" outlineLevel="1" x14ac:dyDescent="0.25">
      <c r="A316" s="1160">
        <f t="shared" si="78"/>
        <v>2</v>
      </c>
      <c r="B316" s="1328" t="str">
        <f t="shared" si="78"/>
        <v>Replacement of existing AVR by DAVR for Static Excitation System at Pawana HPS.</v>
      </c>
      <c r="C316" s="1160" t="str">
        <f t="shared" si="78"/>
        <v>N.A.</v>
      </c>
      <c r="D316" s="1010" t="str">
        <f t="shared" si="78"/>
        <v>-</v>
      </c>
      <c r="E316" s="1329">
        <f t="shared" si="78"/>
        <v>0</v>
      </c>
      <c r="F316" s="1334">
        <f t="shared" si="68"/>
        <v>1.01</v>
      </c>
      <c r="G316" s="1334">
        <f t="shared" si="69"/>
        <v>1.01</v>
      </c>
      <c r="H316" s="1334">
        <f t="shared" si="70"/>
        <v>0</v>
      </c>
      <c r="I316" s="1327">
        <v>0</v>
      </c>
      <c r="J316" s="1327">
        <v>0</v>
      </c>
      <c r="K316" s="1334"/>
      <c r="L316" s="1334"/>
      <c r="M316" s="1334">
        <f t="shared" si="77"/>
        <v>0</v>
      </c>
      <c r="N316" s="1334">
        <f t="shared" si="72"/>
        <v>0</v>
      </c>
    </row>
    <row r="317" spans="1:16" ht="15.5" outlineLevel="1" x14ac:dyDescent="0.25">
      <c r="A317" s="1160">
        <f t="shared" si="78"/>
        <v>3</v>
      </c>
      <c r="B317" s="1328" t="str">
        <f t="shared" si="78"/>
        <v>Retrofitting of 415 V LT Breakers at Kanher &amp; Dhom HPS.</v>
      </c>
      <c r="C317" s="1160" t="str">
        <f t="shared" si="78"/>
        <v>N.A.</v>
      </c>
      <c r="D317" s="1010" t="str">
        <f t="shared" si="78"/>
        <v>-</v>
      </c>
      <c r="E317" s="1329">
        <f t="shared" si="78"/>
        <v>0</v>
      </c>
      <c r="F317" s="1334">
        <f t="shared" si="68"/>
        <v>9.8743800000000007E-2</v>
      </c>
      <c r="G317" s="1334">
        <f t="shared" si="69"/>
        <v>9.8743800000000007E-2</v>
      </c>
      <c r="H317" s="1334">
        <f t="shared" si="70"/>
        <v>0</v>
      </c>
      <c r="I317" s="1327">
        <v>0</v>
      </c>
      <c r="J317" s="1327">
        <v>0</v>
      </c>
      <c r="K317" s="1334"/>
      <c r="L317" s="1334"/>
      <c r="M317" s="1334">
        <f t="shared" si="77"/>
        <v>0</v>
      </c>
      <c r="N317" s="1334">
        <f t="shared" si="72"/>
        <v>0</v>
      </c>
    </row>
    <row r="318" spans="1:16" ht="15.5" outlineLevel="1" x14ac:dyDescent="0.25">
      <c r="A318" s="1160">
        <f t="shared" si="78"/>
        <v>4</v>
      </c>
      <c r="B318" s="1328" t="str">
        <f t="shared" si="78"/>
        <v>Furniture &amp; Fixture General Asset</v>
      </c>
      <c r="C318" s="1160" t="str">
        <f t="shared" si="78"/>
        <v>N.A.</v>
      </c>
      <c r="D318" s="1010" t="str">
        <f t="shared" si="78"/>
        <v>-</v>
      </c>
      <c r="E318" s="1329">
        <f t="shared" si="78"/>
        <v>0</v>
      </c>
      <c r="F318" s="1334">
        <f t="shared" si="68"/>
        <v>1.0676536210000001</v>
      </c>
      <c r="G318" s="1334">
        <f t="shared" si="69"/>
        <v>1.0676536210000001</v>
      </c>
      <c r="H318" s="1334">
        <f t="shared" si="70"/>
        <v>0</v>
      </c>
      <c r="I318" s="1327">
        <v>0</v>
      </c>
      <c r="J318" s="1327">
        <v>0</v>
      </c>
      <c r="K318" s="1334"/>
      <c r="L318" s="1334"/>
      <c r="M318" s="1334">
        <f t="shared" si="77"/>
        <v>0</v>
      </c>
      <c r="N318" s="1334">
        <f t="shared" si="72"/>
        <v>0</v>
      </c>
    </row>
    <row r="319" spans="1:16" ht="15.5" outlineLevel="1" x14ac:dyDescent="0.25">
      <c r="A319" s="1160">
        <f t="shared" si="78"/>
        <v>5</v>
      </c>
      <c r="B319" s="1328" t="str">
        <f t="shared" si="78"/>
        <v>Electrical General Asset</v>
      </c>
      <c r="C319" s="1160" t="str">
        <f t="shared" si="78"/>
        <v>N.A.</v>
      </c>
      <c r="D319" s="1010" t="str">
        <f t="shared" si="78"/>
        <v>-</v>
      </c>
      <c r="E319" s="1329">
        <f t="shared" si="78"/>
        <v>0</v>
      </c>
      <c r="F319" s="1334">
        <f t="shared" si="68"/>
        <v>0.19467927899999998</v>
      </c>
      <c r="G319" s="1334">
        <f t="shared" si="69"/>
        <v>0.19467927899999998</v>
      </c>
      <c r="H319" s="1334">
        <f t="shared" si="70"/>
        <v>0</v>
      </c>
      <c r="I319" s="1327">
        <v>0</v>
      </c>
      <c r="J319" s="1327">
        <v>0</v>
      </c>
      <c r="K319" s="1334"/>
      <c r="L319" s="1334"/>
      <c r="M319" s="1334">
        <f t="shared" si="77"/>
        <v>0</v>
      </c>
      <c r="N319" s="1334">
        <f t="shared" si="72"/>
        <v>0</v>
      </c>
    </row>
    <row r="320" spans="1:16" ht="15.5" outlineLevel="1" x14ac:dyDescent="0.25">
      <c r="A320" s="1160">
        <f t="shared" si="78"/>
        <v>6</v>
      </c>
      <c r="B320" s="1328" t="str">
        <f t="shared" si="78"/>
        <v>Electronics General Asset</v>
      </c>
      <c r="C320" s="1160" t="str">
        <f t="shared" si="78"/>
        <v>N.A.</v>
      </c>
      <c r="D320" s="1010" t="str">
        <f t="shared" si="78"/>
        <v>-</v>
      </c>
      <c r="E320" s="1329">
        <f t="shared" si="78"/>
        <v>0</v>
      </c>
      <c r="F320" s="1334">
        <f t="shared" si="68"/>
        <v>0.27661271500000001</v>
      </c>
      <c r="G320" s="1334">
        <f t="shared" si="69"/>
        <v>0.27661271500000001</v>
      </c>
      <c r="H320" s="1334">
        <f t="shared" si="70"/>
        <v>0</v>
      </c>
      <c r="I320" s="1327">
        <v>0</v>
      </c>
      <c r="J320" s="1327">
        <v>0</v>
      </c>
      <c r="K320" s="1334"/>
      <c r="L320" s="1334"/>
      <c r="M320" s="1334">
        <f t="shared" si="77"/>
        <v>0</v>
      </c>
      <c r="N320" s="1334">
        <f t="shared" si="72"/>
        <v>0</v>
      </c>
    </row>
    <row r="321" spans="1:17" ht="15.5" outlineLevel="1" x14ac:dyDescent="0.25">
      <c r="A321" s="1160">
        <f t="shared" si="78"/>
        <v>7</v>
      </c>
      <c r="B321" s="1328" t="str">
        <f t="shared" si="78"/>
        <v>Vehicle General Asset</v>
      </c>
      <c r="C321" s="1160" t="str">
        <f t="shared" si="78"/>
        <v>N.A.</v>
      </c>
      <c r="D321" s="1010" t="str">
        <f t="shared" si="78"/>
        <v>-</v>
      </c>
      <c r="E321" s="1329">
        <f t="shared" si="78"/>
        <v>0</v>
      </c>
      <c r="F321" s="1334">
        <f t="shared" si="68"/>
        <v>0.17288522700000003</v>
      </c>
      <c r="G321" s="1334">
        <f t="shared" si="69"/>
        <v>0.17288522700000003</v>
      </c>
      <c r="H321" s="1334">
        <f t="shared" si="70"/>
        <v>0</v>
      </c>
      <c r="I321" s="1327">
        <v>0</v>
      </c>
      <c r="J321" s="1327">
        <v>0</v>
      </c>
      <c r="K321" s="1334"/>
      <c r="L321" s="1334"/>
      <c r="M321" s="1334">
        <f t="shared" si="77"/>
        <v>0</v>
      </c>
      <c r="N321" s="1334">
        <f t="shared" si="72"/>
        <v>0</v>
      </c>
    </row>
    <row r="322" spans="1:17" ht="31.5" outlineLevel="1" thickBot="1" x14ac:dyDescent="0.3">
      <c r="A322" s="1160">
        <f t="shared" si="78"/>
        <v>8</v>
      </c>
      <c r="B322" s="1328" t="str">
        <f t="shared" si="78"/>
        <v>Numerical protection system at Pawana Hydro Power Station</v>
      </c>
      <c r="C322" s="1160" t="str">
        <f t="shared" si="78"/>
        <v>N.A.</v>
      </c>
      <c r="D322" s="1010" t="str">
        <f t="shared" si="78"/>
        <v>-</v>
      </c>
      <c r="E322" s="1329">
        <f t="shared" si="78"/>
        <v>0</v>
      </c>
      <c r="F322" s="1334">
        <f t="shared" si="68"/>
        <v>0.33023999999999998</v>
      </c>
      <c r="G322" s="1334">
        <f t="shared" si="69"/>
        <v>0.33023999999999998</v>
      </c>
      <c r="H322" s="1334">
        <f t="shared" si="70"/>
        <v>0</v>
      </c>
      <c r="I322" s="1327">
        <v>0</v>
      </c>
      <c r="J322" s="1327">
        <v>0</v>
      </c>
      <c r="K322" s="1334"/>
      <c r="L322" s="1334"/>
      <c r="M322" s="1334">
        <f t="shared" si="77"/>
        <v>0</v>
      </c>
      <c r="N322" s="1334">
        <f t="shared" si="72"/>
        <v>0</v>
      </c>
    </row>
    <row r="323" spans="1:17" ht="16" thickBot="1" x14ac:dyDescent="0.3">
      <c r="A323" s="1009"/>
      <c r="B323" s="1008" t="str">
        <f t="shared" ref="B323" si="79">B270</f>
        <v>Total</v>
      </c>
      <c r="C323" s="1007"/>
      <c r="D323" s="1006"/>
      <c r="E323" s="1331"/>
      <c r="F323" s="1332">
        <f>SUM(F275:F322)</f>
        <v>87.550505660999988</v>
      </c>
      <c r="G323" s="1332">
        <f>SUM(G275:G322)</f>
        <v>75.480950940999989</v>
      </c>
      <c r="H323" s="1332">
        <f>SUM(H275:H322)</f>
        <v>12.069554720000001</v>
      </c>
      <c r="I323" s="1332">
        <f>SUM(I275:I322)</f>
        <v>25.439999999999998</v>
      </c>
      <c r="J323" s="1332">
        <f>SUM(J275:J322)</f>
        <v>25.439999999999998</v>
      </c>
      <c r="K323" s="1332">
        <f t="shared" ref="K323:N323" si="80">SUM(K275:K322)</f>
        <v>0</v>
      </c>
      <c r="L323" s="1332">
        <f t="shared" si="80"/>
        <v>0</v>
      </c>
      <c r="M323" s="1332">
        <f t="shared" si="80"/>
        <v>25.439999999999998</v>
      </c>
      <c r="N323" s="1332">
        <f t="shared" si="80"/>
        <v>12.069554720000001</v>
      </c>
    </row>
    <row r="324" spans="1:17" ht="15.5" x14ac:dyDescent="0.25">
      <c r="A324" s="1013"/>
      <c r="B324" s="1021"/>
      <c r="C324" s="1020"/>
      <c r="D324" s="1019"/>
      <c r="E324" s="1312"/>
      <c r="F324" s="1312"/>
      <c r="G324" s="1312"/>
      <c r="H324" s="1312"/>
      <c r="I324" s="1312"/>
      <c r="J324" s="1312"/>
      <c r="K324" s="1312"/>
      <c r="L324" s="1312"/>
      <c r="M324" s="1312"/>
      <c r="N324" s="1312"/>
    </row>
    <row r="325" spans="1:17" s="1013" customFormat="1" ht="15.5" x14ac:dyDescent="0.25">
      <c r="A325" s="1319"/>
      <c r="B325" s="1018" t="s">
        <v>942</v>
      </c>
      <c r="C325" s="1320"/>
      <c r="D325" s="1321"/>
      <c r="E325" s="1322"/>
      <c r="F325" s="1211"/>
      <c r="G325" s="1211"/>
      <c r="H325" s="1211"/>
      <c r="I325" s="1211"/>
      <c r="J325" s="1211"/>
      <c r="K325" s="1211"/>
      <c r="L325" s="1211"/>
      <c r="M325" s="1211"/>
      <c r="N325" s="1211"/>
    </row>
    <row r="326" spans="1:17" ht="15.5" outlineLevel="1" x14ac:dyDescent="0.35">
      <c r="A326" s="1319"/>
      <c r="B326" s="1017" t="str">
        <f t="shared" ref="B326:E341" si="81">B273</f>
        <v>a) DPR Schemes</v>
      </c>
      <c r="C326" s="1320"/>
      <c r="D326" s="1321"/>
      <c r="E326" s="1322"/>
      <c r="F326" s="1211"/>
      <c r="G326" s="1211"/>
      <c r="H326" s="1211"/>
      <c r="I326" s="1211"/>
      <c r="J326" s="1211"/>
      <c r="K326" s="1211"/>
      <c r="L326" s="1211"/>
      <c r="M326" s="1211"/>
      <c r="N326" s="1211"/>
      <c r="O326" s="1013"/>
      <c r="P326" s="1013"/>
    </row>
    <row r="327" spans="1:17" ht="15.5" outlineLevel="1" x14ac:dyDescent="0.25">
      <c r="A327" s="1150"/>
      <c r="B327" s="1150" t="str">
        <f t="shared" si="81"/>
        <v>(i) Submitted to MERC</v>
      </c>
      <c r="C327" s="1323"/>
      <c r="D327" s="1324"/>
      <c r="E327" s="1322"/>
      <c r="F327" s="1211"/>
      <c r="G327" s="1211"/>
      <c r="H327" s="1211"/>
      <c r="I327" s="1211"/>
      <c r="J327" s="1211"/>
      <c r="K327" s="1211"/>
      <c r="L327" s="1211"/>
      <c r="M327" s="1211"/>
      <c r="N327" s="1211"/>
      <c r="O327" s="1013"/>
      <c r="P327" s="1013"/>
    </row>
    <row r="328" spans="1:17" s="1013" customFormat="1" ht="31" outlineLevel="1" x14ac:dyDescent="0.25">
      <c r="A328" s="1153">
        <f t="shared" ref="A328:E343" si="82">A275</f>
        <v>2</v>
      </c>
      <c r="B328" s="1154" t="str">
        <f t="shared" si="81"/>
        <v>Various schemes of Hydro Power Stations at HPC Pune &amp; HPC Nasik</v>
      </c>
      <c r="C328" s="1153" t="str">
        <f t="shared" si="81"/>
        <v>MERC/TECH 12/CAPEX/20142015/00876</v>
      </c>
      <c r="D328" s="1325">
        <f t="shared" si="81"/>
        <v>41871</v>
      </c>
      <c r="E328" s="1326">
        <f t="shared" si="81"/>
        <v>1.5511999999999999</v>
      </c>
      <c r="F328" s="1327">
        <f t="shared" ref="F328:F375" si="83">F275+I275</f>
        <v>0</v>
      </c>
      <c r="G328" s="1327">
        <f t="shared" ref="G328:G375" si="84">G275+M275</f>
        <v>0</v>
      </c>
      <c r="H328" s="1327">
        <f t="shared" ref="H328:H375" si="85">F328-G328</f>
        <v>0</v>
      </c>
      <c r="I328" s="1327">
        <v>0</v>
      </c>
      <c r="J328" s="1327">
        <v>0</v>
      </c>
      <c r="K328" s="1327"/>
      <c r="L328" s="1327"/>
      <c r="M328" s="1327">
        <f t="shared" ref="M328" si="86">SUM(J328:L328)</f>
        <v>0</v>
      </c>
      <c r="N328" s="1327">
        <f t="shared" ref="N328:N375" si="87">H328+I328-M328</f>
        <v>0</v>
      </c>
      <c r="O328" s="1159">
        <f t="shared" ref="O328:O350" si="88">MAX(0,IF(M328=0,0,IF(G328+M328&lt;E328,M328,E328-G328)))</f>
        <v>0</v>
      </c>
      <c r="P328" s="1014">
        <f t="shared" ref="P328:P350" si="89">M328-O328</f>
        <v>0</v>
      </c>
    </row>
    <row r="329" spans="1:17" ht="31" outlineLevel="1" x14ac:dyDescent="0.25">
      <c r="A329" s="1160">
        <f t="shared" si="82"/>
        <v>2.4</v>
      </c>
      <c r="B329" s="1328" t="str">
        <f t="shared" si="81"/>
        <v>Replacement of existing AVR by SEE DVR system for Varasgaon Hydro Power Station.</v>
      </c>
      <c r="C329" s="1160" t="str">
        <f t="shared" si="81"/>
        <v>MERC/TECH 12/CAPEX/20142015/00876</v>
      </c>
      <c r="D329" s="1010">
        <f t="shared" si="81"/>
        <v>41871</v>
      </c>
      <c r="E329" s="1329">
        <f t="shared" si="81"/>
        <v>0.52</v>
      </c>
      <c r="F329" s="1334">
        <f t="shared" si="83"/>
        <v>0.30932749999999998</v>
      </c>
      <c r="G329" s="1334">
        <f t="shared" si="84"/>
        <v>0.30932749999999998</v>
      </c>
      <c r="H329" s="1334">
        <f t="shared" si="85"/>
        <v>0</v>
      </c>
      <c r="I329" s="1327">
        <v>0</v>
      </c>
      <c r="J329" s="1327">
        <v>0</v>
      </c>
      <c r="K329" s="1334"/>
      <c r="L329" s="1334"/>
      <c r="M329" s="1334">
        <f t="shared" ref="M329:M349" si="90">SUM(J329:L329)</f>
        <v>0</v>
      </c>
      <c r="N329" s="1334">
        <f t="shared" si="87"/>
        <v>0</v>
      </c>
      <c r="O329" s="1159">
        <f t="shared" si="88"/>
        <v>0</v>
      </c>
      <c r="P329" s="1014">
        <f t="shared" si="89"/>
        <v>0</v>
      </c>
    </row>
    <row r="330" spans="1:17" ht="31" outlineLevel="1" x14ac:dyDescent="0.25">
      <c r="A330" s="1160">
        <f t="shared" si="82"/>
        <v>2.5</v>
      </c>
      <c r="B330" s="1328" t="str">
        <f t="shared" si="81"/>
        <v xml:space="preserve"> Construction of Resthouse at Dimbhe HPS</v>
      </c>
      <c r="C330" s="1160" t="str">
        <f t="shared" si="81"/>
        <v>MERC/TECH 12/CAPEX/20142015/00876</v>
      </c>
      <c r="D330" s="1010">
        <f t="shared" si="81"/>
        <v>41871</v>
      </c>
      <c r="E330" s="1329">
        <f t="shared" si="81"/>
        <v>0.7</v>
      </c>
      <c r="F330" s="1334">
        <f t="shared" si="83"/>
        <v>0.73791230399999996</v>
      </c>
      <c r="G330" s="1334">
        <f t="shared" si="84"/>
        <v>0.73791230399999996</v>
      </c>
      <c r="H330" s="1334">
        <f t="shared" si="85"/>
        <v>0</v>
      </c>
      <c r="I330" s="1327">
        <v>0</v>
      </c>
      <c r="J330" s="1327">
        <v>0</v>
      </c>
      <c r="K330" s="1334"/>
      <c r="L330" s="1334"/>
      <c r="M330" s="1334">
        <f t="shared" si="90"/>
        <v>0</v>
      </c>
      <c r="N330" s="1334">
        <f t="shared" si="87"/>
        <v>0</v>
      </c>
      <c r="O330" s="1159">
        <f t="shared" si="88"/>
        <v>0</v>
      </c>
      <c r="P330" s="1014">
        <f t="shared" si="89"/>
        <v>0</v>
      </c>
      <c r="Q330" s="1013"/>
    </row>
    <row r="331" spans="1:17" ht="31" outlineLevel="1" x14ac:dyDescent="0.25">
      <c r="A331" s="1160">
        <f t="shared" si="82"/>
        <v>0</v>
      </c>
      <c r="B331" s="1328" t="str">
        <f t="shared" si="81"/>
        <v>IDC</v>
      </c>
      <c r="C331" s="1160" t="str">
        <f t="shared" si="81"/>
        <v>MERC/TECH 12/CAPEX/20142015/00876</v>
      </c>
      <c r="D331" s="1010">
        <f t="shared" si="81"/>
        <v>41871</v>
      </c>
      <c r="E331" s="1329">
        <f t="shared" si="81"/>
        <v>0.33119999999999999</v>
      </c>
      <c r="F331" s="1334">
        <f t="shared" si="83"/>
        <v>0</v>
      </c>
      <c r="G331" s="1334">
        <f t="shared" si="84"/>
        <v>0</v>
      </c>
      <c r="H331" s="1334">
        <f t="shared" si="85"/>
        <v>0</v>
      </c>
      <c r="I331" s="1327">
        <v>0</v>
      </c>
      <c r="J331" s="1327">
        <v>0</v>
      </c>
      <c r="K331" s="1334"/>
      <c r="L331" s="1334"/>
      <c r="M331" s="1334">
        <f t="shared" si="90"/>
        <v>0</v>
      </c>
      <c r="N331" s="1334">
        <f t="shared" si="87"/>
        <v>0</v>
      </c>
      <c r="O331" s="1159">
        <f t="shared" si="88"/>
        <v>0</v>
      </c>
      <c r="P331" s="1014">
        <f t="shared" si="89"/>
        <v>0</v>
      </c>
      <c r="Q331" s="1013"/>
    </row>
    <row r="332" spans="1:17" s="1013" customFormat="1" ht="31" outlineLevel="1" x14ac:dyDescent="0.25">
      <c r="A332" s="1153">
        <f t="shared" si="82"/>
        <v>5</v>
      </c>
      <c r="B332" s="1154" t="str">
        <f t="shared" si="81"/>
        <v>Various Civil schemes for Modernisations of colonies at Various Locations under Pune HPC</v>
      </c>
      <c r="C332" s="1153" t="str">
        <f t="shared" si="81"/>
        <v>MERC/CAPEX/20162017/01745</v>
      </c>
      <c r="D332" s="1325">
        <f t="shared" si="81"/>
        <v>42825</v>
      </c>
      <c r="E332" s="1326">
        <f t="shared" si="81"/>
        <v>12.812999999999999</v>
      </c>
      <c r="F332" s="1327">
        <f t="shared" si="83"/>
        <v>0</v>
      </c>
      <c r="G332" s="1327">
        <f t="shared" si="84"/>
        <v>0</v>
      </c>
      <c r="H332" s="1327">
        <f t="shared" si="85"/>
        <v>0</v>
      </c>
      <c r="I332" s="1327">
        <v>0</v>
      </c>
      <c r="J332" s="1327">
        <v>0</v>
      </c>
      <c r="K332" s="1327"/>
      <c r="L332" s="1327"/>
      <c r="M332" s="1327">
        <f t="shared" si="90"/>
        <v>0</v>
      </c>
      <c r="N332" s="1327">
        <f t="shared" si="87"/>
        <v>0</v>
      </c>
      <c r="O332" s="1159">
        <f t="shared" si="88"/>
        <v>0</v>
      </c>
      <c r="P332" s="1014">
        <f t="shared" si="89"/>
        <v>0</v>
      </c>
    </row>
    <row r="333" spans="1:17" ht="15.5" outlineLevel="1" x14ac:dyDescent="0.25">
      <c r="A333" s="1160">
        <f t="shared" si="82"/>
        <v>5.0999999999999996</v>
      </c>
      <c r="B333" s="1328" t="str">
        <f t="shared" si="81"/>
        <v>Refurbishing of Residential complex</v>
      </c>
      <c r="C333" s="1160" t="str">
        <f t="shared" si="81"/>
        <v>MERC/CAPEX/20162017/01745</v>
      </c>
      <c r="D333" s="1010">
        <f t="shared" si="81"/>
        <v>42825</v>
      </c>
      <c r="E333" s="1329">
        <f t="shared" si="81"/>
        <v>2.415</v>
      </c>
      <c r="F333" s="1334">
        <f t="shared" si="83"/>
        <v>1.2675034840000001</v>
      </c>
      <c r="G333" s="1334">
        <f t="shared" si="84"/>
        <v>1.2675034840000001</v>
      </c>
      <c r="H333" s="1334">
        <f t="shared" si="85"/>
        <v>0</v>
      </c>
      <c r="I333" s="1327">
        <v>0</v>
      </c>
      <c r="J333" s="1327">
        <v>0</v>
      </c>
      <c r="K333" s="1334"/>
      <c r="L333" s="1334"/>
      <c r="M333" s="1334">
        <f t="shared" si="90"/>
        <v>0</v>
      </c>
      <c r="N333" s="1334">
        <f t="shared" si="87"/>
        <v>0</v>
      </c>
      <c r="O333" s="1159">
        <f t="shared" si="88"/>
        <v>0</v>
      </c>
      <c r="P333" s="1014">
        <f t="shared" si="89"/>
        <v>0</v>
      </c>
      <c r="Q333" s="1013"/>
    </row>
    <row r="334" spans="1:17" ht="15.5" outlineLevel="1" x14ac:dyDescent="0.25">
      <c r="A334" s="1160">
        <f t="shared" si="82"/>
        <v>5.2</v>
      </c>
      <c r="B334" s="1328" t="str">
        <f t="shared" si="81"/>
        <v>Internal Roads</v>
      </c>
      <c r="C334" s="1160" t="str">
        <f t="shared" si="81"/>
        <v>MERC/CAPEX/20162017/01745</v>
      </c>
      <c r="D334" s="1010">
        <f t="shared" si="81"/>
        <v>42825</v>
      </c>
      <c r="E334" s="1329">
        <f t="shared" si="81"/>
        <v>2.29</v>
      </c>
      <c r="F334" s="1334">
        <f t="shared" si="83"/>
        <v>1.6182413759999996</v>
      </c>
      <c r="G334" s="1334">
        <f t="shared" si="84"/>
        <v>1.6182413759999998</v>
      </c>
      <c r="H334" s="1334">
        <f t="shared" si="85"/>
        <v>0</v>
      </c>
      <c r="I334" s="1327">
        <v>0</v>
      </c>
      <c r="J334" s="1327">
        <v>0</v>
      </c>
      <c r="K334" s="1334"/>
      <c r="L334" s="1334"/>
      <c r="M334" s="1334">
        <f t="shared" si="90"/>
        <v>0</v>
      </c>
      <c r="N334" s="1334">
        <f t="shared" si="87"/>
        <v>0</v>
      </c>
      <c r="O334" s="1159">
        <f t="shared" si="88"/>
        <v>0</v>
      </c>
      <c r="P334" s="1014">
        <f t="shared" si="89"/>
        <v>0</v>
      </c>
      <c r="Q334" s="1013"/>
    </row>
    <row r="335" spans="1:17" ht="15.5" outlineLevel="1" x14ac:dyDescent="0.25">
      <c r="A335" s="1160">
        <f t="shared" si="82"/>
        <v>5.3</v>
      </c>
      <c r="B335" s="1328" t="str">
        <f t="shared" si="81"/>
        <v>Water supply, filteration &amp;  Sanitary works</v>
      </c>
      <c r="C335" s="1160" t="str">
        <f t="shared" si="81"/>
        <v>MERC/CAPEX/20162017/01745</v>
      </c>
      <c r="D335" s="1010">
        <f t="shared" si="81"/>
        <v>42825</v>
      </c>
      <c r="E335" s="1329">
        <f t="shared" si="81"/>
        <v>1.427</v>
      </c>
      <c r="F335" s="1334">
        <f t="shared" si="83"/>
        <v>0.57282329500000007</v>
      </c>
      <c r="G335" s="1334">
        <f t="shared" si="84"/>
        <v>0.57282329500000007</v>
      </c>
      <c r="H335" s="1334">
        <f t="shared" si="85"/>
        <v>0</v>
      </c>
      <c r="I335" s="1327">
        <v>0</v>
      </c>
      <c r="J335" s="1327">
        <v>0</v>
      </c>
      <c r="K335" s="1334"/>
      <c r="L335" s="1334"/>
      <c r="M335" s="1334">
        <f t="shared" si="90"/>
        <v>0</v>
      </c>
      <c r="N335" s="1334">
        <f t="shared" si="87"/>
        <v>0</v>
      </c>
      <c r="O335" s="1159">
        <f t="shared" si="88"/>
        <v>0</v>
      </c>
      <c r="P335" s="1014">
        <f t="shared" si="89"/>
        <v>0</v>
      </c>
      <c r="Q335" s="1013"/>
    </row>
    <row r="336" spans="1:17" ht="15.5" outlineLevel="1" x14ac:dyDescent="0.25">
      <c r="A336" s="1160">
        <f t="shared" si="82"/>
        <v>5.4</v>
      </c>
      <c r="B336" s="1328" t="str">
        <f t="shared" si="81"/>
        <v>Compound walls</v>
      </c>
      <c r="C336" s="1160" t="str">
        <f t="shared" si="81"/>
        <v>MERC/CAPEX/20162017/01745</v>
      </c>
      <c r="D336" s="1010">
        <f t="shared" si="81"/>
        <v>42825</v>
      </c>
      <c r="E336" s="1329">
        <f t="shared" si="81"/>
        <v>6.681</v>
      </c>
      <c r="F336" s="1334">
        <f t="shared" si="83"/>
        <v>7.5560763239999993</v>
      </c>
      <c r="G336" s="1334">
        <f t="shared" si="84"/>
        <v>7.5560763239999993</v>
      </c>
      <c r="H336" s="1334">
        <f t="shared" si="85"/>
        <v>0</v>
      </c>
      <c r="I336" s="1327">
        <v>0</v>
      </c>
      <c r="J336" s="1327">
        <v>0</v>
      </c>
      <c r="K336" s="1334"/>
      <c r="L336" s="1334"/>
      <c r="M336" s="1334">
        <f t="shared" si="90"/>
        <v>0</v>
      </c>
      <c r="N336" s="1334">
        <f t="shared" si="87"/>
        <v>0</v>
      </c>
      <c r="O336" s="1159">
        <f t="shared" si="88"/>
        <v>0</v>
      </c>
      <c r="P336" s="1014">
        <f t="shared" si="89"/>
        <v>0</v>
      </c>
      <c r="Q336" s="1013">
        <v>-2.3408937000000074E-2</v>
      </c>
    </row>
    <row r="337" spans="1:17" s="1013" customFormat="1" ht="31" outlineLevel="1" x14ac:dyDescent="0.25">
      <c r="A337" s="1153">
        <f t="shared" si="82"/>
        <v>14</v>
      </c>
      <c r="B337" s="1154" t="str">
        <f t="shared" si="81"/>
        <v>Various 14 Nos. of schemes for Hydro Power Stations under Renewable Energy Circle, Pune &amp; Nasik</v>
      </c>
      <c r="C337" s="1153" t="str">
        <f t="shared" si="81"/>
        <v>MERC/CAPEX/2020-21/WFH/SBR/ 19</v>
      </c>
      <c r="D337" s="1325">
        <f t="shared" si="81"/>
        <v>44029</v>
      </c>
      <c r="E337" s="1326">
        <f t="shared" si="81"/>
        <v>1.9079999999999999</v>
      </c>
      <c r="F337" s="1327">
        <f t="shared" si="83"/>
        <v>0</v>
      </c>
      <c r="G337" s="1327">
        <f t="shared" si="84"/>
        <v>0</v>
      </c>
      <c r="H337" s="1327">
        <f t="shared" si="85"/>
        <v>0</v>
      </c>
      <c r="I337" s="1327">
        <v>0</v>
      </c>
      <c r="J337" s="1327">
        <v>0</v>
      </c>
      <c r="K337" s="1327"/>
      <c r="L337" s="1327"/>
      <c r="M337" s="1327">
        <f t="shared" si="90"/>
        <v>0</v>
      </c>
      <c r="N337" s="1327">
        <f t="shared" si="87"/>
        <v>0</v>
      </c>
      <c r="O337" s="1159">
        <f t="shared" si="88"/>
        <v>0</v>
      </c>
      <c r="P337" s="1014">
        <f t="shared" si="89"/>
        <v>0</v>
      </c>
    </row>
    <row r="338" spans="1:17" ht="31" outlineLevel="1" x14ac:dyDescent="0.25">
      <c r="A338" s="1160">
        <f t="shared" si="82"/>
        <v>14.1</v>
      </c>
      <c r="B338" s="1328" t="str">
        <f t="shared" si="81"/>
        <v>Schme-A: Retrofitting of 12 KV Breakers at Ujjani Hydro Power Station</v>
      </c>
      <c r="C338" s="1160" t="str">
        <f t="shared" si="81"/>
        <v>MERC/CAPEX/2020-21/WFH/SBR/ 19</v>
      </c>
      <c r="D338" s="1010">
        <f t="shared" si="81"/>
        <v>44029</v>
      </c>
      <c r="E338" s="1329">
        <f t="shared" si="81"/>
        <v>0.39500000000000002</v>
      </c>
      <c r="F338" s="1334">
        <f t="shared" si="83"/>
        <v>0.26762399999999997</v>
      </c>
      <c r="G338" s="1334">
        <f t="shared" si="84"/>
        <v>0.26762399999999997</v>
      </c>
      <c r="H338" s="1334">
        <f t="shared" si="85"/>
        <v>0</v>
      </c>
      <c r="I338" s="1327">
        <v>0</v>
      </c>
      <c r="J338" s="1327">
        <v>0</v>
      </c>
      <c r="K338" s="1334"/>
      <c r="L338" s="1334"/>
      <c r="M338" s="1334">
        <f t="shared" si="90"/>
        <v>0</v>
      </c>
      <c r="N338" s="1334">
        <f t="shared" si="87"/>
        <v>0</v>
      </c>
      <c r="O338" s="1159">
        <f t="shared" si="88"/>
        <v>0</v>
      </c>
      <c r="P338" s="1014">
        <f t="shared" si="89"/>
        <v>0</v>
      </c>
      <c r="Q338" s="1013"/>
    </row>
    <row r="339" spans="1:17" ht="31" outlineLevel="1" x14ac:dyDescent="0.25">
      <c r="A339" s="1160">
        <f t="shared" si="82"/>
        <v>14.3</v>
      </c>
      <c r="B339" s="1328" t="str">
        <f t="shared" si="81"/>
        <v>Schme-C :Replacement of existing Energy meters by 0.2S Class Energy meters at various HPS.</v>
      </c>
      <c r="C339" s="1160" t="str">
        <f t="shared" si="81"/>
        <v>MERC/CAPEX/2020-21/WFH/SBR/ 19</v>
      </c>
      <c r="D339" s="1010">
        <f t="shared" si="81"/>
        <v>44029</v>
      </c>
      <c r="E339" s="1329">
        <f t="shared" si="81"/>
        <v>0.10199999999999999</v>
      </c>
      <c r="F339" s="1334">
        <f t="shared" si="83"/>
        <v>9.6156000000000005E-2</v>
      </c>
      <c r="G339" s="1334">
        <f t="shared" si="84"/>
        <v>7.969248000000001E-2</v>
      </c>
      <c r="H339" s="1334">
        <f t="shared" si="85"/>
        <v>1.6463519999999995E-2</v>
      </c>
      <c r="I339" s="1327">
        <v>0</v>
      </c>
      <c r="J339" s="1327">
        <v>0</v>
      </c>
      <c r="K339" s="1334"/>
      <c r="L339" s="1334"/>
      <c r="M339" s="1334">
        <f t="shared" si="90"/>
        <v>0</v>
      </c>
      <c r="N339" s="1334">
        <f t="shared" si="87"/>
        <v>1.6463519999999995E-2</v>
      </c>
      <c r="O339" s="1159">
        <f t="shared" si="88"/>
        <v>0</v>
      </c>
      <c r="P339" s="1014">
        <f t="shared" si="89"/>
        <v>0</v>
      </c>
      <c r="Q339" s="1013"/>
    </row>
    <row r="340" spans="1:17" ht="31" outlineLevel="1" x14ac:dyDescent="0.25">
      <c r="A340" s="1160">
        <f t="shared" si="82"/>
        <v>14.4</v>
      </c>
      <c r="B340" s="1328" t="str">
        <f t="shared" si="81"/>
        <v>Schme-D: Providing Oil Filtration Machines for all Divisions of REC, Pune</v>
      </c>
      <c r="C340" s="1160" t="str">
        <f t="shared" si="81"/>
        <v>MERC/CAPEX/2020-21/WFH/SBR/ 19</v>
      </c>
      <c r="D340" s="1010">
        <f t="shared" si="81"/>
        <v>44029</v>
      </c>
      <c r="E340" s="1329">
        <f t="shared" si="81"/>
        <v>0.56100000000000005</v>
      </c>
      <c r="F340" s="1334">
        <f t="shared" si="83"/>
        <v>0.2723912</v>
      </c>
      <c r="G340" s="1334">
        <f t="shared" si="84"/>
        <v>0.2723912</v>
      </c>
      <c r="H340" s="1334">
        <f t="shared" si="85"/>
        <v>0</v>
      </c>
      <c r="I340" s="1327">
        <v>0</v>
      </c>
      <c r="J340" s="1327">
        <v>0</v>
      </c>
      <c r="K340" s="1334"/>
      <c r="L340" s="1334"/>
      <c r="M340" s="1334">
        <f t="shared" si="90"/>
        <v>0</v>
      </c>
      <c r="N340" s="1334">
        <f t="shared" si="87"/>
        <v>0</v>
      </c>
      <c r="O340" s="1159">
        <f t="shared" si="88"/>
        <v>0</v>
      </c>
      <c r="P340" s="1014">
        <f t="shared" si="89"/>
        <v>0</v>
      </c>
      <c r="Q340" s="1013"/>
    </row>
    <row r="341" spans="1:17" ht="15.5" outlineLevel="1" x14ac:dyDescent="0.25">
      <c r="A341" s="1160">
        <f t="shared" si="82"/>
        <v>0</v>
      </c>
      <c r="B341" s="1328" t="str">
        <f t="shared" si="81"/>
        <v>IDC</v>
      </c>
      <c r="C341" s="1160" t="str">
        <f t="shared" si="81"/>
        <v>MERC/CAPEX/2020-21/WFH/SBR/ 19</v>
      </c>
      <c r="D341" s="1010">
        <f t="shared" si="81"/>
        <v>44029</v>
      </c>
      <c r="E341" s="1329">
        <f t="shared" si="81"/>
        <v>0.85</v>
      </c>
      <c r="F341" s="1334">
        <f t="shared" si="83"/>
        <v>0</v>
      </c>
      <c r="G341" s="1334">
        <f t="shared" si="84"/>
        <v>0</v>
      </c>
      <c r="H341" s="1334">
        <f t="shared" si="85"/>
        <v>0</v>
      </c>
      <c r="I341" s="1327">
        <v>0</v>
      </c>
      <c r="J341" s="1327">
        <v>0</v>
      </c>
      <c r="K341" s="1334"/>
      <c r="L341" s="1334"/>
      <c r="M341" s="1334">
        <f t="shared" si="90"/>
        <v>0</v>
      </c>
      <c r="N341" s="1334">
        <f t="shared" si="87"/>
        <v>0</v>
      </c>
      <c r="O341" s="1159">
        <f t="shared" si="88"/>
        <v>0</v>
      </c>
      <c r="P341" s="1014">
        <f t="shared" si="89"/>
        <v>0</v>
      </c>
      <c r="Q341" s="1013"/>
    </row>
    <row r="342" spans="1:17" s="1013" customFormat="1" ht="31" outlineLevel="1" x14ac:dyDescent="0.25">
      <c r="A342" s="1153">
        <f t="shared" si="82"/>
        <v>16</v>
      </c>
      <c r="B342" s="1154" t="str">
        <f t="shared" si="82"/>
        <v>Various 6 Nos. Schemes for Hydro Power Stations under Renewable Energy Circle, Pune</v>
      </c>
      <c r="C342" s="1153" t="str">
        <f t="shared" si="82"/>
        <v>MERC/CAPEX/2020-2021/WFH/ SBR/22</v>
      </c>
      <c r="D342" s="1325">
        <f t="shared" si="82"/>
        <v>44037</v>
      </c>
      <c r="E342" s="1326">
        <f t="shared" si="82"/>
        <v>10.861000000000001</v>
      </c>
      <c r="F342" s="1327">
        <f t="shared" si="83"/>
        <v>0</v>
      </c>
      <c r="G342" s="1327">
        <f t="shared" si="84"/>
        <v>0</v>
      </c>
      <c r="H342" s="1327">
        <f t="shared" si="85"/>
        <v>0</v>
      </c>
      <c r="I342" s="1327">
        <v>0</v>
      </c>
      <c r="J342" s="1327">
        <v>0</v>
      </c>
      <c r="K342" s="1327"/>
      <c r="L342" s="1327"/>
      <c r="M342" s="1327">
        <f t="shared" si="90"/>
        <v>0</v>
      </c>
      <c r="N342" s="1327">
        <f t="shared" si="87"/>
        <v>0</v>
      </c>
      <c r="O342" s="1159">
        <f t="shared" si="88"/>
        <v>0</v>
      </c>
      <c r="P342" s="1014">
        <f t="shared" si="89"/>
        <v>0</v>
      </c>
    </row>
    <row r="343" spans="1:17" ht="31" outlineLevel="1" x14ac:dyDescent="0.25">
      <c r="A343" s="1160">
        <f t="shared" si="82"/>
        <v>16.100000000000001</v>
      </c>
      <c r="B343" s="1328" t="str">
        <f t="shared" si="82"/>
        <v>Replacement of existing Air Compressors at Bhira, Tilari, Pawana and Ujjani Hydro Power Stations under REC, Pune</v>
      </c>
      <c r="C343" s="1160" t="str">
        <f t="shared" si="82"/>
        <v>MERC/CAPEX/2020-2021/WFH/ SBR/22</v>
      </c>
      <c r="D343" s="1010">
        <f t="shared" si="82"/>
        <v>44037</v>
      </c>
      <c r="E343" s="1329">
        <f t="shared" si="82"/>
        <v>0.95099999999999996</v>
      </c>
      <c r="F343" s="1334">
        <f t="shared" si="83"/>
        <v>0.61</v>
      </c>
      <c r="G343" s="1334">
        <f t="shared" si="84"/>
        <v>0.61</v>
      </c>
      <c r="H343" s="1334">
        <f t="shared" si="85"/>
        <v>0</v>
      </c>
      <c r="I343" s="1327">
        <v>0</v>
      </c>
      <c r="J343" s="1327">
        <v>0</v>
      </c>
      <c r="K343" s="1334"/>
      <c r="L343" s="1334"/>
      <c r="M343" s="1334">
        <f t="shared" si="90"/>
        <v>0</v>
      </c>
      <c r="N343" s="1334">
        <f t="shared" si="87"/>
        <v>0</v>
      </c>
      <c r="O343" s="1159">
        <f t="shared" si="88"/>
        <v>0</v>
      </c>
      <c r="P343" s="1014">
        <f t="shared" si="89"/>
        <v>0</v>
      </c>
      <c r="Q343" s="1013"/>
    </row>
    <row r="344" spans="1:17" ht="62" outlineLevel="1" x14ac:dyDescent="0.25">
      <c r="A344" s="1160">
        <f t="shared" ref="A344:E359" si="91">A291</f>
        <v>16.2</v>
      </c>
      <c r="B344" s="1328" t="str">
        <f t="shared" si="91"/>
        <v>Replacement of existing Air conditioners of Plant Control Rooms at Ujjani, Warna, Kanher, Dhom, Dimbhe &amp; Dudhganga
HPS.</v>
      </c>
      <c r="C344" s="1160" t="str">
        <f t="shared" si="91"/>
        <v>MERC/CAPEX/2020-2021/WFH/ SBR/22</v>
      </c>
      <c r="D344" s="1010">
        <f t="shared" si="91"/>
        <v>44037</v>
      </c>
      <c r="E344" s="1329">
        <f t="shared" si="91"/>
        <v>0.29199999999999998</v>
      </c>
      <c r="F344" s="1334">
        <f t="shared" si="83"/>
        <v>0.25256440000000002</v>
      </c>
      <c r="G344" s="1334">
        <f t="shared" si="84"/>
        <v>0.25256440000000002</v>
      </c>
      <c r="H344" s="1334">
        <f t="shared" si="85"/>
        <v>0</v>
      </c>
      <c r="I344" s="1327">
        <v>0</v>
      </c>
      <c r="J344" s="1327">
        <v>0</v>
      </c>
      <c r="K344" s="1334"/>
      <c r="L344" s="1334"/>
      <c r="M344" s="1334">
        <f t="shared" si="90"/>
        <v>0</v>
      </c>
      <c r="N344" s="1334">
        <f t="shared" si="87"/>
        <v>0</v>
      </c>
      <c r="O344" s="1159">
        <f t="shared" si="88"/>
        <v>0</v>
      </c>
      <c r="P344" s="1014">
        <f t="shared" si="89"/>
        <v>0</v>
      </c>
      <c r="Q344" s="1013"/>
    </row>
    <row r="345" spans="1:17" ht="46.5" outlineLevel="1" x14ac:dyDescent="0.25">
      <c r="A345" s="1160">
        <f t="shared" si="91"/>
        <v>16.399999999999999</v>
      </c>
      <c r="B345" s="1328" t="str">
        <f t="shared" si="91"/>
        <v>Replacement of 220 V, 400/300 AH Battery set with Tubular type Battery Banks at Bhira, Tilari, Kanher, Dimbhe and Ujani Hydro Power Stations.</v>
      </c>
      <c r="C345" s="1160" t="str">
        <f t="shared" si="91"/>
        <v>MERC/CAPEX/2020-2021/WFH/ SBR/22</v>
      </c>
      <c r="D345" s="1010">
        <f t="shared" si="91"/>
        <v>44037</v>
      </c>
      <c r="E345" s="1329">
        <f t="shared" si="91"/>
        <v>0.89999999999999991</v>
      </c>
      <c r="F345" s="1334">
        <f t="shared" si="83"/>
        <v>0.35828399999999999</v>
      </c>
      <c r="G345" s="1334">
        <f t="shared" si="84"/>
        <v>0.35828399999999999</v>
      </c>
      <c r="H345" s="1334">
        <f t="shared" si="85"/>
        <v>0</v>
      </c>
      <c r="I345" s="1327">
        <v>0</v>
      </c>
      <c r="J345" s="1327">
        <v>0</v>
      </c>
      <c r="K345" s="1334"/>
      <c r="L345" s="1334"/>
      <c r="M345" s="1334">
        <f t="shared" si="90"/>
        <v>0</v>
      </c>
      <c r="N345" s="1334">
        <f t="shared" si="87"/>
        <v>0</v>
      </c>
      <c r="O345" s="1159">
        <f t="shared" si="88"/>
        <v>0</v>
      </c>
      <c r="P345" s="1014">
        <f t="shared" si="89"/>
        <v>0</v>
      </c>
      <c r="Q345" s="1013"/>
    </row>
    <row r="346" spans="1:17" ht="31" outlineLevel="1" x14ac:dyDescent="0.25">
      <c r="A346" s="1160">
        <f t="shared" si="91"/>
        <v>16.5</v>
      </c>
      <c r="B346" s="1328" t="str">
        <f t="shared" si="91"/>
        <v>Supply, installation and commissioning of Kaplan Turbine Runner Blades from BHEL (OEM) for Dudhganga U#1.</v>
      </c>
      <c r="C346" s="1160" t="str">
        <f t="shared" si="91"/>
        <v>MERC/CAPEX/2020-2021/WFH/ SBR/22</v>
      </c>
      <c r="D346" s="1010">
        <f t="shared" si="91"/>
        <v>44037</v>
      </c>
      <c r="E346" s="1329">
        <f t="shared" si="91"/>
        <v>4.657</v>
      </c>
      <c r="F346" s="1334">
        <f t="shared" si="83"/>
        <v>4.5730371359999999</v>
      </c>
      <c r="G346" s="1334">
        <f t="shared" si="84"/>
        <v>4.5799459359999997</v>
      </c>
      <c r="H346" s="1334">
        <f t="shared" si="85"/>
        <v>-6.9087999999997152E-3</v>
      </c>
      <c r="I346" s="1327">
        <v>0</v>
      </c>
      <c r="J346" s="1327">
        <v>0</v>
      </c>
      <c r="K346" s="1334"/>
      <c r="L346" s="1334"/>
      <c r="M346" s="1334">
        <f t="shared" si="90"/>
        <v>0</v>
      </c>
      <c r="N346" s="1334">
        <f t="shared" si="87"/>
        <v>-6.9087999999997152E-3</v>
      </c>
      <c r="O346" s="1159">
        <f t="shared" si="88"/>
        <v>0</v>
      </c>
      <c r="P346" s="1014">
        <f t="shared" si="89"/>
        <v>0</v>
      </c>
    </row>
    <row r="347" spans="1:17" ht="46.5" outlineLevel="1" x14ac:dyDescent="0.25">
      <c r="A347" s="1160">
        <f t="shared" si="91"/>
        <v>16.600000000000001</v>
      </c>
      <c r="B347" s="1328" t="str">
        <f t="shared" si="91"/>
        <v>Replacement of existing Protection Systems with Numerical Protection system at Bhira, Panshet, Varasgaon, Dimbhe &amp; Manikdoh HPS.</v>
      </c>
      <c r="C347" s="1160" t="str">
        <f t="shared" si="91"/>
        <v>MERC/CAPEX/2020-2021/WFH/ SBR/22</v>
      </c>
      <c r="D347" s="1010">
        <f t="shared" si="91"/>
        <v>44037</v>
      </c>
      <c r="E347" s="1329">
        <f t="shared" si="91"/>
        <v>3.6220000000000003</v>
      </c>
      <c r="F347" s="1334">
        <f t="shared" si="83"/>
        <v>2.13395</v>
      </c>
      <c r="G347" s="1334">
        <f t="shared" si="84"/>
        <v>2.13395</v>
      </c>
      <c r="H347" s="1334">
        <f t="shared" si="85"/>
        <v>0</v>
      </c>
      <c r="I347" s="1327">
        <v>0</v>
      </c>
      <c r="J347" s="1327">
        <v>0</v>
      </c>
      <c r="K347" s="1334"/>
      <c r="L347" s="1334"/>
      <c r="M347" s="1334">
        <f t="shared" si="90"/>
        <v>0</v>
      </c>
      <c r="N347" s="1334">
        <f t="shared" si="87"/>
        <v>0</v>
      </c>
      <c r="O347" s="1159">
        <f t="shared" si="88"/>
        <v>0</v>
      </c>
      <c r="P347" s="1014">
        <f t="shared" si="89"/>
        <v>0</v>
      </c>
    </row>
    <row r="348" spans="1:17" ht="31" outlineLevel="1" x14ac:dyDescent="0.25">
      <c r="A348" s="1160">
        <f t="shared" si="91"/>
        <v>0</v>
      </c>
      <c r="B348" s="1328" t="str">
        <f t="shared" si="91"/>
        <v>IDC</v>
      </c>
      <c r="C348" s="1160" t="str">
        <f t="shared" si="91"/>
        <v>MERC/CAPEX/2020-2021/WFH/ SBR/22</v>
      </c>
      <c r="D348" s="1010">
        <f t="shared" si="91"/>
        <v>44037</v>
      </c>
      <c r="E348" s="1329">
        <f t="shared" si="91"/>
        <v>0.439</v>
      </c>
      <c r="F348" s="1334">
        <f t="shared" si="83"/>
        <v>0</v>
      </c>
      <c r="G348" s="1334">
        <f t="shared" si="84"/>
        <v>0</v>
      </c>
      <c r="H348" s="1334">
        <f t="shared" si="85"/>
        <v>0</v>
      </c>
      <c r="I348" s="1327">
        <v>0</v>
      </c>
      <c r="J348" s="1327">
        <v>0</v>
      </c>
      <c r="K348" s="1334"/>
      <c r="L348" s="1334"/>
      <c r="M348" s="1334">
        <f t="shared" si="90"/>
        <v>0</v>
      </c>
      <c r="N348" s="1334">
        <f t="shared" si="87"/>
        <v>0</v>
      </c>
      <c r="O348" s="1159">
        <f t="shared" si="88"/>
        <v>0</v>
      </c>
      <c r="P348" s="1014">
        <f t="shared" si="89"/>
        <v>0</v>
      </c>
    </row>
    <row r="349" spans="1:17" ht="31" outlineLevel="1" x14ac:dyDescent="0.25">
      <c r="A349" s="1015">
        <f t="shared" si="91"/>
        <v>17</v>
      </c>
      <c r="B349" s="1016" t="str">
        <f t="shared" si="91"/>
        <v xml:space="preserve">Fortification near Panshet hydro power station for arresting rock falling on HPS Building at panshet . </v>
      </c>
      <c r="C349" s="1015" t="str">
        <f t="shared" si="91"/>
        <v xml:space="preserve">Not approved </v>
      </c>
      <c r="D349" s="1010" t="str">
        <f t="shared" si="91"/>
        <v>-</v>
      </c>
      <c r="E349" s="1330">
        <f t="shared" si="91"/>
        <v>0</v>
      </c>
      <c r="F349" s="1330">
        <f t="shared" si="83"/>
        <v>0</v>
      </c>
      <c r="G349" s="1330">
        <f t="shared" si="84"/>
        <v>0</v>
      </c>
      <c r="H349" s="1330">
        <f t="shared" si="85"/>
        <v>0</v>
      </c>
      <c r="I349" s="1327">
        <v>0</v>
      </c>
      <c r="J349" s="1327">
        <v>0</v>
      </c>
      <c r="K349" s="1330"/>
      <c r="L349" s="1330"/>
      <c r="M349" s="1330">
        <f t="shared" si="90"/>
        <v>0</v>
      </c>
      <c r="N349" s="1330">
        <f t="shared" si="87"/>
        <v>0</v>
      </c>
      <c r="O349" s="1159">
        <f t="shared" si="88"/>
        <v>0</v>
      </c>
      <c r="P349" s="1014">
        <f t="shared" si="89"/>
        <v>0</v>
      </c>
    </row>
    <row r="350" spans="1:17" ht="31" outlineLevel="1" x14ac:dyDescent="0.25">
      <c r="A350" s="1015">
        <f t="shared" si="91"/>
        <v>17.100000000000001</v>
      </c>
      <c r="B350" s="1016" t="str">
        <f t="shared" si="91"/>
        <v xml:space="preserve">Fortification near Panshet hydro power station for arresting rock falling on HPS Building at panshet . </v>
      </c>
      <c r="C350" s="1015" t="str">
        <f t="shared" si="91"/>
        <v xml:space="preserve">Not approved </v>
      </c>
      <c r="D350" s="1010" t="str">
        <f t="shared" si="91"/>
        <v>-</v>
      </c>
      <c r="E350" s="1330">
        <f t="shared" si="91"/>
        <v>0</v>
      </c>
      <c r="F350" s="1330">
        <f t="shared" si="83"/>
        <v>12.06</v>
      </c>
      <c r="G350" s="1330">
        <f t="shared" si="84"/>
        <v>0</v>
      </c>
      <c r="H350" s="1330">
        <f t="shared" si="85"/>
        <v>12.06</v>
      </c>
      <c r="I350" s="1327">
        <v>0</v>
      </c>
      <c r="J350" s="1327">
        <v>0</v>
      </c>
      <c r="K350" s="1330"/>
      <c r="L350" s="1330"/>
      <c r="M350" s="1330">
        <f t="shared" ref="M350:M375" si="92">SUM(J350:L350)</f>
        <v>0</v>
      </c>
      <c r="N350" s="1330">
        <f t="shared" si="87"/>
        <v>12.06</v>
      </c>
      <c r="O350" s="1159">
        <f t="shared" si="88"/>
        <v>0</v>
      </c>
      <c r="P350" s="1014">
        <f t="shared" si="89"/>
        <v>0</v>
      </c>
    </row>
    <row r="351" spans="1:17" ht="15.5" outlineLevel="1" x14ac:dyDescent="0.25">
      <c r="A351" s="1011">
        <f t="shared" si="91"/>
        <v>0</v>
      </c>
      <c r="B351" s="1150" t="str">
        <f t="shared" si="91"/>
        <v>(ii) Yet to be submitted to MERC</v>
      </c>
      <c r="C351" s="1011">
        <f t="shared" si="91"/>
        <v>0</v>
      </c>
      <c r="D351" s="1010" t="str">
        <f t="shared" si="91"/>
        <v>-</v>
      </c>
      <c r="E351" s="1330">
        <f t="shared" si="91"/>
        <v>0</v>
      </c>
      <c r="F351" s="1259">
        <f t="shared" si="83"/>
        <v>0</v>
      </c>
      <c r="G351" s="1259">
        <f t="shared" si="84"/>
        <v>0</v>
      </c>
      <c r="H351" s="1259">
        <f t="shared" si="85"/>
        <v>0</v>
      </c>
      <c r="I351" s="1327">
        <v>0</v>
      </c>
      <c r="J351" s="1327">
        <v>0</v>
      </c>
      <c r="K351" s="1259"/>
      <c r="L351" s="1259"/>
      <c r="M351" s="1259">
        <f t="shared" si="92"/>
        <v>0</v>
      </c>
      <c r="N351" s="1259">
        <f t="shared" si="87"/>
        <v>0</v>
      </c>
      <c r="O351" s="1013"/>
      <c r="P351" s="1013"/>
    </row>
    <row r="352" spans="1:17" ht="15.5" outlineLevel="1" x14ac:dyDescent="0.25">
      <c r="A352" s="1153">
        <f t="shared" si="91"/>
        <v>1</v>
      </c>
      <c r="B352" s="1154" t="str">
        <f t="shared" si="91"/>
        <v>DPR-5</v>
      </c>
      <c r="C352" s="1153" t="str">
        <f t="shared" si="91"/>
        <v>(ii) Yet to be submitted to MERC</v>
      </c>
      <c r="D352" s="1325" t="str">
        <f t="shared" si="91"/>
        <v>-</v>
      </c>
      <c r="E352" s="1326">
        <f t="shared" si="91"/>
        <v>0</v>
      </c>
      <c r="F352" s="1335">
        <f t="shared" si="83"/>
        <v>0</v>
      </c>
      <c r="G352" s="1335">
        <f t="shared" si="84"/>
        <v>0</v>
      </c>
      <c r="H352" s="1335">
        <f t="shared" si="85"/>
        <v>0</v>
      </c>
      <c r="I352" s="1327">
        <v>0</v>
      </c>
      <c r="J352" s="1327">
        <v>0</v>
      </c>
      <c r="K352" s="1335"/>
      <c r="L352" s="1335"/>
      <c r="M352" s="1335">
        <f t="shared" si="92"/>
        <v>0</v>
      </c>
      <c r="N352" s="1335">
        <f t="shared" si="87"/>
        <v>0</v>
      </c>
      <c r="O352" s="1013"/>
      <c r="P352" s="1013"/>
    </row>
    <row r="353" spans="1:16" ht="31" outlineLevel="1" x14ac:dyDescent="0.25">
      <c r="A353" s="1160">
        <f t="shared" si="91"/>
        <v>1.1000000000000001</v>
      </c>
      <c r="B353" s="1328" t="str">
        <f t="shared" si="91"/>
        <v>Supply, erection &amp; commissioning of Digital Governor and DAVR for Panshet HPS under REC, Pune</v>
      </c>
      <c r="C353" s="1160" t="str">
        <f t="shared" si="91"/>
        <v>(ii) Yet to be submitted to MERC</v>
      </c>
      <c r="D353" s="1010" t="str">
        <f t="shared" si="91"/>
        <v>-</v>
      </c>
      <c r="E353" s="1329">
        <f t="shared" si="91"/>
        <v>0</v>
      </c>
      <c r="F353" s="1334">
        <f t="shared" si="83"/>
        <v>4.5</v>
      </c>
      <c r="G353" s="1334">
        <f t="shared" si="84"/>
        <v>4.5</v>
      </c>
      <c r="H353" s="1334">
        <f t="shared" si="85"/>
        <v>0</v>
      </c>
      <c r="I353" s="1327">
        <v>0</v>
      </c>
      <c r="J353" s="1327">
        <v>0</v>
      </c>
      <c r="K353" s="1334"/>
      <c r="L353" s="1334"/>
      <c r="M353" s="1334">
        <f t="shared" si="92"/>
        <v>0</v>
      </c>
      <c r="N353" s="1334">
        <f t="shared" si="87"/>
        <v>0</v>
      </c>
      <c r="O353" s="1013"/>
      <c r="P353" s="1013"/>
    </row>
    <row r="354" spans="1:16" ht="31" outlineLevel="1" x14ac:dyDescent="0.25">
      <c r="A354" s="1160">
        <f t="shared" si="91"/>
        <v>1.2</v>
      </c>
      <c r="B354" s="1328" t="str">
        <f t="shared" si="91"/>
        <v xml:space="preserve">Supply, erection &amp; commissioning of Digital Governor, Excitation system (DAVR) at Warana &amp; Dudhganga HPS </v>
      </c>
      <c r="C354" s="1160" t="str">
        <f t="shared" si="91"/>
        <v>(ii) Yet to be submitted to MERC</v>
      </c>
      <c r="D354" s="1010" t="str">
        <f t="shared" si="91"/>
        <v>-</v>
      </c>
      <c r="E354" s="1329">
        <f t="shared" si="91"/>
        <v>0</v>
      </c>
      <c r="F354" s="1334">
        <f t="shared" si="83"/>
        <v>18.79</v>
      </c>
      <c r="G354" s="1334">
        <f t="shared" si="84"/>
        <v>18.79</v>
      </c>
      <c r="H354" s="1334">
        <f t="shared" si="85"/>
        <v>0</v>
      </c>
      <c r="I354" s="1327">
        <v>0</v>
      </c>
      <c r="J354" s="1327">
        <v>0</v>
      </c>
      <c r="K354" s="1334"/>
      <c r="L354" s="1334"/>
      <c r="M354" s="1334">
        <f t="shared" si="92"/>
        <v>0</v>
      </c>
      <c r="N354" s="1334">
        <f t="shared" si="87"/>
        <v>0</v>
      </c>
      <c r="O354" s="1013"/>
      <c r="P354" s="1013"/>
    </row>
    <row r="355" spans="1:16" ht="46.5" outlineLevel="1" x14ac:dyDescent="0.25">
      <c r="A355" s="1160">
        <f t="shared" si="91"/>
        <v>1.3</v>
      </c>
      <c r="B355" s="1328" t="str">
        <f t="shared" si="91"/>
        <v>Supply,erection &amp; commissioningof Governor, Excitation System (DAVR) and Autosequencer for Manikdoh, Kanher &amp; Dimbhe HPS.</v>
      </c>
      <c r="C355" s="1160" t="str">
        <f t="shared" si="91"/>
        <v>(ii) Yet to be submitted to MERC</v>
      </c>
      <c r="D355" s="1010" t="str">
        <f t="shared" si="91"/>
        <v>-</v>
      </c>
      <c r="E355" s="1329">
        <f t="shared" si="91"/>
        <v>0</v>
      </c>
      <c r="F355" s="1334">
        <f t="shared" si="83"/>
        <v>14.35</v>
      </c>
      <c r="G355" s="1334">
        <f t="shared" si="84"/>
        <v>14.35</v>
      </c>
      <c r="H355" s="1334">
        <f t="shared" si="85"/>
        <v>0</v>
      </c>
      <c r="I355" s="1327">
        <v>0</v>
      </c>
      <c r="J355" s="1327">
        <v>0</v>
      </c>
      <c r="K355" s="1334"/>
      <c r="L355" s="1334"/>
      <c r="M355" s="1334">
        <f t="shared" si="92"/>
        <v>0</v>
      </c>
      <c r="N355" s="1334">
        <f t="shared" si="87"/>
        <v>0</v>
      </c>
      <c r="O355" s="1013"/>
      <c r="P355" s="1013"/>
    </row>
    <row r="356" spans="1:16" ht="31" outlineLevel="1" x14ac:dyDescent="0.25">
      <c r="A356" s="1160">
        <f t="shared" si="91"/>
        <v>1.4</v>
      </c>
      <c r="B356" s="1328" t="str">
        <f t="shared" si="91"/>
        <v>Supply, erection &amp; commissioning of Digital Governor Pawana &amp; Varasgaon HPS</v>
      </c>
      <c r="C356" s="1160" t="str">
        <f t="shared" si="91"/>
        <v>(ii) Yet to be submitted to MERC</v>
      </c>
      <c r="D356" s="1010" t="str">
        <f t="shared" si="91"/>
        <v>-</v>
      </c>
      <c r="E356" s="1329">
        <f t="shared" si="91"/>
        <v>0</v>
      </c>
      <c r="F356" s="1334">
        <f t="shared" si="83"/>
        <v>6.74</v>
      </c>
      <c r="G356" s="1334">
        <f t="shared" si="84"/>
        <v>6.74</v>
      </c>
      <c r="H356" s="1334">
        <f t="shared" si="85"/>
        <v>0</v>
      </c>
      <c r="I356" s="1327">
        <v>0</v>
      </c>
      <c r="J356" s="1327">
        <v>0</v>
      </c>
      <c r="K356" s="1334"/>
      <c r="L356" s="1334"/>
      <c r="M356" s="1334">
        <f t="shared" si="92"/>
        <v>0</v>
      </c>
      <c r="N356" s="1334">
        <f t="shared" si="87"/>
        <v>0</v>
      </c>
      <c r="O356" s="1013"/>
      <c r="P356" s="1013"/>
    </row>
    <row r="357" spans="1:16" ht="46.5" outlineLevel="1" x14ac:dyDescent="0.25">
      <c r="A357" s="1160">
        <f t="shared" si="91"/>
        <v>1.5</v>
      </c>
      <c r="B357" s="1328" t="str">
        <f t="shared" si="91"/>
        <v>Upgradation of Protection system for Generator and Generator transformer at bhatghar,Dudhganga,Ujani,Warana,Kanher &amp; Dhom</v>
      </c>
      <c r="C357" s="1160" t="str">
        <f t="shared" si="91"/>
        <v>(ii) Yet to be submitted to MERC</v>
      </c>
      <c r="D357" s="1010" t="str">
        <f t="shared" si="91"/>
        <v>-</v>
      </c>
      <c r="E357" s="1329">
        <f t="shared" si="91"/>
        <v>0</v>
      </c>
      <c r="F357" s="1334">
        <f t="shared" si="83"/>
        <v>7.22</v>
      </c>
      <c r="G357" s="1334">
        <f t="shared" si="84"/>
        <v>7.22</v>
      </c>
      <c r="H357" s="1334">
        <f t="shared" si="85"/>
        <v>0</v>
      </c>
      <c r="I357" s="1327">
        <v>0</v>
      </c>
      <c r="J357" s="1327">
        <v>0</v>
      </c>
      <c r="K357" s="1334"/>
      <c r="L357" s="1334"/>
      <c r="M357" s="1334">
        <f t="shared" si="92"/>
        <v>0</v>
      </c>
      <c r="N357" s="1334">
        <f t="shared" si="87"/>
        <v>0</v>
      </c>
      <c r="O357" s="1013"/>
      <c r="P357" s="1013"/>
    </row>
    <row r="358" spans="1:16" ht="15.5" outlineLevel="1" x14ac:dyDescent="0.25">
      <c r="A358" s="1160">
        <f t="shared" si="91"/>
        <v>0</v>
      </c>
      <c r="B358" s="1328" t="str">
        <f t="shared" si="91"/>
        <v>DPR-6</v>
      </c>
      <c r="C358" s="1160">
        <f t="shared" si="91"/>
        <v>0</v>
      </c>
      <c r="D358" s="1010" t="str">
        <f t="shared" si="91"/>
        <v>-</v>
      </c>
      <c r="E358" s="1329">
        <f t="shared" si="91"/>
        <v>0</v>
      </c>
      <c r="F358" s="1334">
        <f t="shared" si="83"/>
        <v>0</v>
      </c>
      <c r="G358" s="1334">
        <f t="shared" si="84"/>
        <v>0</v>
      </c>
      <c r="H358" s="1334">
        <f t="shared" si="85"/>
        <v>0</v>
      </c>
      <c r="I358" s="1327">
        <v>0</v>
      </c>
      <c r="J358" s="1327">
        <v>0</v>
      </c>
      <c r="K358" s="1334"/>
      <c r="L358" s="1334"/>
      <c r="M358" s="1334">
        <f t="shared" si="92"/>
        <v>0</v>
      </c>
      <c r="N358" s="1334">
        <f t="shared" si="87"/>
        <v>0</v>
      </c>
      <c r="O358" s="1013"/>
      <c r="P358" s="1013"/>
    </row>
    <row r="359" spans="1:16" ht="15.5" outlineLevel="1" x14ac:dyDescent="0.25">
      <c r="A359" s="1153">
        <f t="shared" si="91"/>
        <v>0</v>
      </c>
      <c r="B359" s="1154" t="str">
        <f t="shared" si="91"/>
        <v>Synchronising &amp; Line Breakers at HPS under REC, Pune</v>
      </c>
      <c r="C359" s="1160" t="str">
        <f t="shared" si="91"/>
        <v>(ii) Yet to be submitted to MERC</v>
      </c>
      <c r="D359" s="1325" t="str">
        <f t="shared" si="91"/>
        <v>-</v>
      </c>
      <c r="E359" s="1326">
        <f t="shared" si="91"/>
        <v>0</v>
      </c>
      <c r="F359" s="1335">
        <f t="shared" si="83"/>
        <v>5.0999999999999996</v>
      </c>
      <c r="G359" s="1335">
        <f t="shared" si="84"/>
        <v>5.0999999999999996</v>
      </c>
      <c r="H359" s="1335">
        <f t="shared" si="85"/>
        <v>0</v>
      </c>
      <c r="I359" s="1327">
        <v>0</v>
      </c>
      <c r="J359" s="1327">
        <v>0</v>
      </c>
      <c r="K359" s="1335"/>
      <c r="L359" s="1335"/>
      <c r="M359" s="1335">
        <f t="shared" si="92"/>
        <v>0</v>
      </c>
      <c r="N359" s="1335">
        <f t="shared" si="87"/>
        <v>0</v>
      </c>
      <c r="O359" s="1013"/>
      <c r="P359" s="1013"/>
    </row>
    <row r="360" spans="1:16" ht="31" outlineLevel="1" x14ac:dyDescent="0.25">
      <c r="A360" s="1160">
        <f t="shared" ref="A360:E375" si="93">A307</f>
        <v>0</v>
      </c>
      <c r="B360" s="1328" t="str">
        <f t="shared" si="93"/>
        <v>Digital Governor, Excitation (DAVR) with Auto sequencer at Ujjani HPS</v>
      </c>
      <c r="C360" s="1160" t="str">
        <f t="shared" si="93"/>
        <v>(ii) Yet to be submitted to MERC</v>
      </c>
      <c r="D360" s="1010" t="str">
        <f t="shared" si="93"/>
        <v>-</v>
      </c>
      <c r="E360" s="1329">
        <f t="shared" si="93"/>
        <v>0</v>
      </c>
      <c r="F360" s="1334">
        <f t="shared" si="83"/>
        <v>3.12</v>
      </c>
      <c r="G360" s="1334">
        <f t="shared" si="84"/>
        <v>3.12</v>
      </c>
      <c r="H360" s="1334">
        <f t="shared" si="85"/>
        <v>0</v>
      </c>
      <c r="I360" s="1327">
        <v>0</v>
      </c>
      <c r="J360" s="1327">
        <v>0</v>
      </c>
      <c r="K360" s="1334"/>
      <c r="L360" s="1334"/>
      <c r="M360" s="1334">
        <f t="shared" si="92"/>
        <v>0</v>
      </c>
      <c r="N360" s="1334">
        <f t="shared" si="87"/>
        <v>0</v>
      </c>
      <c r="O360" s="1013"/>
      <c r="P360" s="1013"/>
    </row>
    <row r="361" spans="1:16" ht="31" outlineLevel="1" x14ac:dyDescent="0.25">
      <c r="A361" s="1160">
        <f t="shared" si="93"/>
        <v>0</v>
      </c>
      <c r="B361" s="1328" t="str">
        <f t="shared" si="93"/>
        <v>Supply of station battery sets at Panshet, Varasgaon, Pawana, Dhom, Terwanmedhe</v>
      </c>
      <c r="C361" s="1160" t="str">
        <f t="shared" si="93"/>
        <v>(ii) Yet to be submitted to MERC</v>
      </c>
      <c r="D361" s="1010" t="str">
        <f t="shared" si="93"/>
        <v>-</v>
      </c>
      <c r="E361" s="1329">
        <f t="shared" si="93"/>
        <v>0</v>
      </c>
      <c r="F361" s="1334">
        <f t="shared" si="83"/>
        <v>1</v>
      </c>
      <c r="G361" s="1334">
        <f t="shared" si="84"/>
        <v>1</v>
      </c>
      <c r="H361" s="1334">
        <f t="shared" si="85"/>
        <v>0</v>
      </c>
      <c r="I361" s="1327">
        <v>0</v>
      </c>
      <c r="J361" s="1327">
        <v>0</v>
      </c>
      <c r="K361" s="1334"/>
      <c r="L361" s="1334"/>
      <c r="M361" s="1334">
        <f t="shared" si="92"/>
        <v>0</v>
      </c>
      <c r="N361" s="1334">
        <f t="shared" si="87"/>
        <v>0</v>
      </c>
    </row>
    <row r="362" spans="1:16" ht="31" outlineLevel="1" x14ac:dyDescent="0.25">
      <c r="A362" s="1160">
        <f t="shared" si="93"/>
        <v>0</v>
      </c>
      <c r="B362" s="1328" t="str">
        <f t="shared" si="93"/>
        <v>Digital Governor, Excitation (DAVR) with Auto sequencer at Dhom HPS</v>
      </c>
      <c r="C362" s="1160" t="str">
        <f t="shared" si="93"/>
        <v>(ii) Yet to be submitted to MERC</v>
      </c>
      <c r="D362" s="1010" t="str">
        <f t="shared" si="93"/>
        <v>-</v>
      </c>
      <c r="E362" s="1329">
        <f t="shared" si="93"/>
        <v>0</v>
      </c>
      <c r="F362" s="1334">
        <f t="shared" si="83"/>
        <v>6.22</v>
      </c>
      <c r="G362" s="1334">
        <f t="shared" si="84"/>
        <v>6.22</v>
      </c>
      <c r="H362" s="1334">
        <f t="shared" si="85"/>
        <v>0</v>
      </c>
      <c r="I362" s="1327">
        <v>0</v>
      </c>
      <c r="J362" s="1327">
        <v>0</v>
      </c>
      <c r="K362" s="1334"/>
      <c r="L362" s="1334"/>
      <c r="M362" s="1334">
        <f t="shared" si="92"/>
        <v>0</v>
      </c>
      <c r="N362" s="1334">
        <f t="shared" si="87"/>
        <v>0</v>
      </c>
    </row>
    <row r="363" spans="1:16" ht="15.5" outlineLevel="1" x14ac:dyDescent="0.25">
      <c r="A363" s="1160">
        <f t="shared" si="93"/>
        <v>0</v>
      </c>
      <c r="B363" s="1328" t="str">
        <f t="shared" si="93"/>
        <v>R &amp; M of Bhatghar HPS</v>
      </c>
      <c r="C363" s="1160" t="str">
        <f t="shared" si="93"/>
        <v>(ii) Yet to be submitted to MERC</v>
      </c>
      <c r="D363" s="1010" t="str">
        <f t="shared" si="93"/>
        <v>-</v>
      </c>
      <c r="E363" s="1329">
        <f t="shared" si="93"/>
        <v>0</v>
      </c>
      <c r="F363" s="1334">
        <f t="shared" si="83"/>
        <v>10</v>
      </c>
      <c r="G363" s="1334">
        <f t="shared" si="84"/>
        <v>10</v>
      </c>
      <c r="H363" s="1334">
        <f t="shared" si="85"/>
        <v>0</v>
      </c>
      <c r="I363" s="1327">
        <v>0</v>
      </c>
      <c r="J363" s="1327">
        <v>0</v>
      </c>
      <c r="K363" s="1334"/>
      <c r="L363" s="1334"/>
      <c r="M363" s="1334">
        <f t="shared" si="92"/>
        <v>0</v>
      </c>
      <c r="N363" s="1334">
        <f t="shared" si="87"/>
        <v>0</v>
      </c>
    </row>
    <row r="364" spans="1:16" ht="15.5" outlineLevel="1" x14ac:dyDescent="0.25">
      <c r="A364" s="1160">
        <f t="shared" si="93"/>
        <v>1.7</v>
      </c>
      <c r="B364" s="1328" t="str">
        <f t="shared" si="93"/>
        <v>DPR-8</v>
      </c>
      <c r="C364" s="1160">
        <f t="shared" si="93"/>
        <v>0</v>
      </c>
      <c r="D364" s="1010" t="str">
        <f t="shared" si="93"/>
        <v>-</v>
      </c>
      <c r="E364" s="1329">
        <f t="shared" si="93"/>
        <v>0</v>
      </c>
      <c r="F364" s="1334">
        <f t="shared" si="83"/>
        <v>0</v>
      </c>
      <c r="G364" s="1334">
        <f t="shared" si="84"/>
        <v>0</v>
      </c>
      <c r="H364" s="1334">
        <f t="shared" si="85"/>
        <v>0</v>
      </c>
      <c r="I364" s="1327">
        <v>0</v>
      </c>
      <c r="J364" s="1327">
        <v>0</v>
      </c>
      <c r="K364" s="1334"/>
      <c r="L364" s="1334"/>
      <c r="M364" s="1334">
        <f t="shared" si="92"/>
        <v>0</v>
      </c>
      <c r="N364" s="1334">
        <f t="shared" si="87"/>
        <v>0</v>
      </c>
    </row>
    <row r="365" spans="1:16" ht="31" outlineLevel="1" x14ac:dyDescent="0.25">
      <c r="A365" s="1160">
        <f t="shared" si="93"/>
        <v>0</v>
      </c>
      <c r="B365" s="1328" t="str">
        <f t="shared" si="93"/>
        <v>Gen. transformers for Dudhganga, Warana, Ujjani, Panshet, Varasgaon &amp; Pawana HPS</v>
      </c>
      <c r="C365" s="1160" t="str">
        <f t="shared" si="93"/>
        <v>(ii) Yet to be submitted to MERC</v>
      </c>
      <c r="D365" s="1010" t="str">
        <f t="shared" si="93"/>
        <v>-</v>
      </c>
      <c r="E365" s="1329">
        <f t="shared" si="93"/>
        <v>0</v>
      </c>
      <c r="F365" s="1334">
        <f t="shared" si="83"/>
        <v>0</v>
      </c>
      <c r="G365" s="1334">
        <f t="shared" si="84"/>
        <v>0</v>
      </c>
      <c r="H365" s="1334">
        <f t="shared" si="85"/>
        <v>0</v>
      </c>
      <c r="I365" s="1327">
        <v>0</v>
      </c>
      <c r="J365" s="1327">
        <v>0</v>
      </c>
      <c r="K365" s="1334"/>
      <c r="L365" s="1334"/>
      <c r="M365" s="1334">
        <f t="shared" si="92"/>
        <v>0</v>
      </c>
      <c r="N365" s="1334">
        <f t="shared" si="87"/>
        <v>0</v>
      </c>
    </row>
    <row r="366" spans="1:16" ht="15.5" outlineLevel="1" x14ac:dyDescent="0.25">
      <c r="A366" s="1160">
        <f t="shared" si="93"/>
        <v>0</v>
      </c>
      <c r="B366" s="1328">
        <f t="shared" si="93"/>
        <v>0</v>
      </c>
      <c r="C366" s="1160">
        <f t="shared" si="93"/>
        <v>0</v>
      </c>
      <c r="D366" s="1010" t="str">
        <f t="shared" si="93"/>
        <v>-</v>
      </c>
      <c r="E366" s="1329">
        <f t="shared" si="93"/>
        <v>0</v>
      </c>
      <c r="F366" s="1334">
        <f t="shared" si="83"/>
        <v>0</v>
      </c>
      <c r="G366" s="1334">
        <f t="shared" si="84"/>
        <v>0</v>
      </c>
      <c r="H366" s="1334">
        <f t="shared" si="85"/>
        <v>0</v>
      </c>
      <c r="I366" s="1327">
        <v>0</v>
      </c>
      <c r="J366" s="1327">
        <v>0</v>
      </c>
      <c r="K366" s="1334"/>
      <c r="L366" s="1334"/>
      <c r="M366" s="1334">
        <f t="shared" si="92"/>
        <v>0</v>
      </c>
      <c r="N366" s="1334">
        <f t="shared" si="87"/>
        <v>0</v>
      </c>
    </row>
    <row r="367" spans="1:16" ht="15.5" outlineLevel="1" x14ac:dyDescent="0.25">
      <c r="A367" s="1011">
        <f t="shared" si="93"/>
        <v>0</v>
      </c>
      <c r="B367" s="1012" t="str">
        <f t="shared" si="93"/>
        <v>B) Non-DPR Schemes</v>
      </c>
      <c r="C367" s="1011">
        <f t="shared" si="93"/>
        <v>0</v>
      </c>
      <c r="D367" s="1010" t="str">
        <f t="shared" si="93"/>
        <v>-</v>
      </c>
      <c r="E367" s="1330">
        <f t="shared" si="93"/>
        <v>0</v>
      </c>
      <c r="F367" s="1259">
        <f t="shared" si="83"/>
        <v>0</v>
      </c>
      <c r="G367" s="1259">
        <f t="shared" si="84"/>
        <v>0</v>
      </c>
      <c r="H367" s="1259">
        <f t="shared" si="85"/>
        <v>0</v>
      </c>
      <c r="I367" s="1327">
        <v>0</v>
      </c>
      <c r="J367" s="1327">
        <v>0</v>
      </c>
      <c r="K367" s="1259"/>
      <c r="L367" s="1259"/>
      <c r="M367" s="1259">
        <f t="shared" si="92"/>
        <v>0</v>
      </c>
      <c r="N367" s="1259">
        <f t="shared" si="87"/>
        <v>0</v>
      </c>
    </row>
    <row r="368" spans="1:16" ht="31" outlineLevel="1" x14ac:dyDescent="0.25">
      <c r="A368" s="1160">
        <f t="shared" si="93"/>
        <v>1</v>
      </c>
      <c r="B368" s="1328" t="str">
        <f t="shared" si="93"/>
        <v>Replacement of 220V/300 AH Tubular type Battery Set at Manikdoh HPS</v>
      </c>
      <c r="C368" s="1160" t="str">
        <f t="shared" si="93"/>
        <v>N.A.</v>
      </c>
      <c r="D368" s="1010" t="str">
        <f t="shared" si="93"/>
        <v>-</v>
      </c>
      <c r="E368" s="1329">
        <f t="shared" si="93"/>
        <v>0</v>
      </c>
      <c r="F368" s="1334">
        <f t="shared" si="83"/>
        <v>0.1138</v>
      </c>
      <c r="G368" s="1334">
        <f t="shared" si="84"/>
        <v>0.1138</v>
      </c>
      <c r="H368" s="1334">
        <f t="shared" si="85"/>
        <v>0</v>
      </c>
      <c r="I368" s="1327">
        <v>0</v>
      </c>
      <c r="J368" s="1327">
        <v>0</v>
      </c>
      <c r="K368" s="1334"/>
      <c r="L368" s="1334"/>
      <c r="M368" s="1334">
        <f t="shared" si="92"/>
        <v>0</v>
      </c>
      <c r="N368" s="1334">
        <f t="shared" si="87"/>
        <v>0</v>
      </c>
    </row>
    <row r="369" spans="1:17" ht="31" outlineLevel="1" x14ac:dyDescent="0.25">
      <c r="A369" s="1160">
        <f t="shared" si="93"/>
        <v>2</v>
      </c>
      <c r="B369" s="1328" t="str">
        <f t="shared" si="93"/>
        <v>Replacement of existing AVR by DAVR for Static Excitation System at Pawana HPS.</v>
      </c>
      <c r="C369" s="1160" t="str">
        <f t="shared" si="93"/>
        <v>N.A.</v>
      </c>
      <c r="D369" s="1010" t="str">
        <f t="shared" si="93"/>
        <v>-</v>
      </c>
      <c r="E369" s="1329">
        <f t="shared" si="93"/>
        <v>0</v>
      </c>
      <c r="F369" s="1334">
        <f t="shared" si="83"/>
        <v>1.01</v>
      </c>
      <c r="G369" s="1334">
        <f t="shared" si="84"/>
        <v>1.01</v>
      </c>
      <c r="H369" s="1334">
        <f t="shared" si="85"/>
        <v>0</v>
      </c>
      <c r="I369" s="1327">
        <v>0</v>
      </c>
      <c r="J369" s="1327">
        <v>0</v>
      </c>
      <c r="K369" s="1334"/>
      <c r="L369" s="1334"/>
      <c r="M369" s="1334">
        <f t="shared" si="92"/>
        <v>0</v>
      </c>
      <c r="N369" s="1334">
        <f t="shared" si="87"/>
        <v>0</v>
      </c>
    </row>
    <row r="370" spans="1:17" ht="15.5" outlineLevel="1" x14ac:dyDescent="0.25">
      <c r="A370" s="1160">
        <f t="shared" si="93"/>
        <v>3</v>
      </c>
      <c r="B370" s="1328" t="str">
        <f t="shared" si="93"/>
        <v>Retrofitting of 415 V LT Breakers at Kanher &amp; Dhom HPS.</v>
      </c>
      <c r="C370" s="1160" t="str">
        <f t="shared" si="93"/>
        <v>N.A.</v>
      </c>
      <c r="D370" s="1010" t="str">
        <f t="shared" si="93"/>
        <v>-</v>
      </c>
      <c r="E370" s="1329">
        <f t="shared" si="93"/>
        <v>0</v>
      </c>
      <c r="F370" s="1334">
        <f t="shared" si="83"/>
        <v>9.8743800000000007E-2</v>
      </c>
      <c r="G370" s="1334">
        <f t="shared" si="84"/>
        <v>9.8743800000000007E-2</v>
      </c>
      <c r="H370" s="1334">
        <f t="shared" si="85"/>
        <v>0</v>
      </c>
      <c r="I370" s="1327">
        <v>0</v>
      </c>
      <c r="J370" s="1327">
        <v>0</v>
      </c>
      <c r="K370" s="1334"/>
      <c r="L370" s="1334"/>
      <c r="M370" s="1334">
        <f t="shared" si="92"/>
        <v>0</v>
      </c>
      <c r="N370" s="1334">
        <f t="shared" si="87"/>
        <v>0</v>
      </c>
    </row>
    <row r="371" spans="1:17" ht="15.5" outlineLevel="1" x14ac:dyDescent="0.25">
      <c r="A371" s="1160">
        <f t="shared" si="93"/>
        <v>4</v>
      </c>
      <c r="B371" s="1328" t="str">
        <f t="shared" si="93"/>
        <v>Furniture &amp; Fixture General Asset</v>
      </c>
      <c r="C371" s="1160" t="str">
        <f t="shared" si="93"/>
        <v>N.A.</v>
      </c>
      <c r="D371" s="1010" t="str">
        <f t="shared" si="93"/>
        <v>-</v>
      </c>
      <c r="E371" s="1329">
        <f t="shared" si="93"/>
        <v>0</v>
      </c>
      <c r="F371" s="1334">
        <f t="shared" si="83"/>
        <v>1.0676536210000001</v>
      </c>
      <c r="G371" s="1334">
        <f t="shared" si="84"/>
        <v>1.0676536210000001</v>
      </c>
      <c r="H371" s="1334">
        <f t="shared" si="85"/>
        <v>0</v>
      </c>
      <c r="I371" s="1327">
        <v>0</v>
      </c>
      <c r="J371" s="1327">
        <v>0</v>
      </c>
      <c r="K371" s="1334"/>
      <c r="L371" s="1334"/>
      <c r="M371" s="1334">
        <f t="shared" si="92"/>
        <v>0</v>
      </c>
      <c r="N371" s="1334">
        <f t="shared" si="87"/>
        <v>0</v>
      </c>
    </row>
    <row r="372" spans="1:17" ht="15.5" outlineLevel="1" x14ac:dyDescent="0.25">
      <c r="A372" s="1160">
        <f t="shared" si="93"/>
        <v>5</v>
      </c>
      <c r="B372" s="1328" t="str">
        <f t="shared" si="93"/>
        <v>Electrical General Asset</v>
      </c>
      <c r="C372" s="1160" t="str">
        <f t="shared" si="93"/>
        <v>N.A.</v>
      </c>
      <c r="D372" s="1010" t="str">
        <f t="shared" si="93"/>
        <v>-</v>
      </c>
      <c r="E372" s="1329">
        <f t="shared" si="93"/>
        <v>0</v>
      </c>
      <c r="F372" s="1334">
        <f t="shared" si="83"/>
        <v>0.19467927899999998</v>
      </c>
      <c r="G372" s="1334">
        <f t="shared" si="84"/>
        <v>0.19467927899999998</v>
      </c>
      <c r="H372" s="1334">
        <f t="shared" si="85"/>
        <v>0</v>
      </c>
      <c r="I372" s="1327">
        <v>0</v>
      </c>
      <c r="J372" s="1327">
        <v>0</v>
      </c>
      <c r="K372" s="1334"/>
      <c r="L372" s="1334"/>
      <c r="M372" s="1334">
        <f t="shared" si="92"/>
        <v>0</v>
      </c>
      <c r="N372" s="1334">
        <f t="shared" si="87"/>
        <v>0</v>
      </c>
    </row>
    <row r="373" spans="1:17" ht="15.5" outlineLevel="1" x14ac:dyDescent="0.25">
      <c r="A373" s="1160">
        <f t="shared" si="93"/>
        <v>6</v>
      </c>
      <c r="B373" s="1328" t="str">
        <f t="shared" si="93"/>
        <v>Electronics General Asset</v>
      </c>
      <c r="C373" s="1160" t="str">
        <f t="shared" si="93"/>
        <v>N.A.</v>
      </c>
      <c r="D373" s="1010" t="str">
        <f t="shared" si="93"/>
        <v>-</v>
      </c>
      <c r="E373" s="1329">
        <f t="shared" si="93"/>
        <v>0</v>
      </c>
      <c r="F373" s="1334">
        <f t="shared" si="83"/>
        <v>0.27661271500000001</v>
      </c>
      <c r="G373" s="1334">
        <f t="shared" si="84"/>
        <v>0.27661271500000001</v>
      </c>
      <c r="H373" s="1334">
        <f t="shared" si="85"/>
        <v>0</v>
      </c>
      <c r="I373" s="1327">
        <v>0</v>
      </c>
      <c r="J373" s="1327">
        <v>0</v>
      </c>
      <c r="K373" s="1334"/>
      <c r="L373" s="1334"/>
      <c r="M373" s="1334">
        <f t="shared" si="92"/>
        <v>0</v>
      </c>
      <c r="N373" s="1334">
        <f t="shared" si="87"/>
        <v>0</v>
      </c>
    </row>
    <row r="374" spans="1:17" ht="15.5" outlineLevel="1" x14ac:dyDescent="0.25">
      <c r="A374" s="1160">
        <f t="shared" si="93"/>
        <v>7</v>
      </c>
      <c r="B374" s="1328" t="str">
        <f t="shared" si="93"/>
        <v>Vehicle General Asset</v>
      </c>
      <c r="C374" s="1160" t="str">
        <f t="shared" si="93"/>
        <v>N.A.</v>
      </c>
      <c r="D374" s="1010" t="str">
        <f t="shared" si="93"/>
        <v>-</v>
      </c>
      <c r="E374" s="1329">
        <f t="shared" si="93"/>
        <v>0</v>
      </c>
      <c r="F374" s="1334">
        <f t="shared" si="83"/>
        <v>0.17288522700000003</v>
      </c>
      <c r="G374" s="1334">
        <f t="shared" si="84"/>
        <v>0.17288522700000003</v>
      </c>
      <c r="H374" s="1334">
        <f t="shared" si="85"/>
        <v>0</v>
      </c>
      <c r="I374" s="1327">
        <v>0</v>
      </c>
      <c r="J374" s="1327">
        <v>0</v>
      </c>
      <c r="K374" s="1334"/>
      <c r="L374" s="1334"/>
      <c r="M374" s="1334">
        <f t="shared" si="92"/>
        <v>0</v>
      </c>
      <c r="N374" s="1334">
        <f t="shared" si="87"/>
        <v>0</v>
      </c>
    </row>
    <row r="375" spans="1:17" ht="31.5" outlineLevel="1" thickBot="1" x14ac:dyDescent="0.3">
      <c r="A375" s="1160">
        <f t="shared" si="93"/>
        <v>8</v>
      </c>
      <c r="B375" s="1328" t="str">
        <f t="shared" si="93"/>
        <v>Numerical protection system at Pawana Hydro Power Station</v>
      </c>
      <c r="C375" s="1160" t="str">
        <f t="shared" si="93"/>
        <v>N.A.</v>
      </c>
      <c r="D375" s="1010" t="str">
        <f t="shared" si="93"/>
        <v>-</v>
      </c>
      <c r="E375" s="1329">
        <f t="shared" si="93"/>
        <v>0</v>
      </c>
      <c r="F375" s="1334">
        <f t="shared" si="83"/>
        <v>0.33023999999999998</v>
      </c>
      <c r="G375" s="1334">
        <f t="shared" si="84"/>
        <v>0.33023999999999998</v>
      </c>
      <c r="H375" s="1334">
        <f t="shared" si="85"/>
        <v>0</v>
      </c>
      <c r="I375" s="1327">
        <v>0</v>
      </c>
      <c r="J375" s="1327">
        <v>0</v>
      </c>
      <c r="K375" s="1334"/>
      <c r="L375" s="1334"/>
      <c r="M375" s="1334">
        <f t="shared" si="92"/>
        <v>0</v>
      </c>
      <c r="N375" s="1334">
        <f t="shared" si="87"/>
        <v>0</v>
      </c>
    </row>
    <row r="376" spans="1:17" ht="16" thickBot="1" x14ac:dyDescent="0.3">
      <c r="A376" s="1009"/>
      <c r="B376" s="1008" t="str">
        <f t="shared" ref="B376" si="94">B323</f>
        <v>Total</v>
      </c>
      <c r="C376" s="1007"/>
      <c r="D376" s="1006"/>
      <c r="E376" s="1331"/>
      <c r="F376" s="1332">
        <f>SUM(F328:F375)</f>
        <v>112.99050566099999</v>
      </c>
      <c r="G376" s="1332">
        <f>SUM(G328:G375)</f>
        <v>100.92095094099999</v>
      </c>
      <c r="H376" s="1332">
        <f>SUM(H328:H375)</f>
        <v>12.069554720000001</v>
      </c>
      <c r="I376" s="1332">
        <f>SUM(I328:I375)</f>
        <v>0</v>
      </c>
      <c r="J376" s="1332">
        <f>SUM(J328:J375)</f>
        <v>0</v>
      </c>
      <c r="K376" s="1332">
        <f t="shared" ref="K376:N376" si="95">SUM(K328:K375)</f>
        <v>0</v>
      </c>
      <c r="L376" s="1332">
        <f t="shared" si="95"/>
        <v>0</v>
      </c>
      <c r="M376" s="1332">
        <f t="shared" si="95"/>
        <v>0</v>
      </c>
      <c r="N376" s="1332">
        <f t="shared" si="95"/>
        <v>12.069554720000001</v>
      </c>
    </row>
    <row r="378" spans="1:17" s="1013" customFormat="1" ht="15.5" x14ac:dyDescent="0.25">
      <c r="A378" s="1319"/>
      <c r="B378" s="1018" t="s">
        <v>944</v>
      </c>
      <c r="C378" s="1320"/>
      <c r="D378" s="1321"/>
      <c r="E378" s="1322"/>
      <c r="F378" s="1211"/>
      <c r="G378" s="1211"/>
      <c r="H378" s="1211"/>
      <c r="I378" s="1211"/>
      <c r="J378" s="1211"/>
      <c r="K378" s="1211"/>
      <c r="L378" s="1211"/>
      <c r="M378" s="1211"/>
      <c r="N378" s="1211"/>
    </row>
    <row r="379" spans="1:17" ht="15.5" outlineLevel="1" x14ac:dyDescent="0.35">
      <c r="A379" s="1319"/>
      <c r="B379" s="1017" t="str">
        <f t="shared" ref="B379:E394" si="96">B326</f>
        <v>a) DPR Schemes</v>
      </c>
      <c r="C379" s="1320"/>
      <c r="D379" s="1321"/>
      <c r="E379" s="1322"/>
      <c r="F379" s="1211"/>
      <c r="G379" s="1211"/>
      <c r="H379" s="1211"/>
      <c r="I379" s="1211"/>
      <c r="J379" s="1211"/>
      <c r="K379" s="1211"/>
      <c r="L379" s="1211"/>
      <c r="M379" s="1211"/>
      <c r="N379" s="1211"/>
      <c r="O379" s="1013"/>
      <c r="P379" s="1013"/>
    </row>
    <row r="380" spans="1:17" ht="15.5" outlineLevel="1" x14ac:dyDescent="0.25">
      <c r="A380" s="1150"/>
      <c r="B380" s="1150" t="str">
        <f t="shared" si="96"/>
        <v>(i) Submitted to MERC</v>
      </c>
      <c r="C380" s="1323"/>
      <c r="D380" s="1324"/>
      <c r="E380" s="1322"/>
      <c r="F380" s="1211"/>
      <c r="G380" s="1211"/>
      <c r="H380" s="1211"/>
      <c r="I380" s="1211"/>
      <c r="J380" s="1211"/>
      <c r="K380" s="1211"/>
      <c r="L380" s="1211"/>
      <c r="M380" s="1211"/>
      <c r="N380" s="1211"/>
      <c r="O380" s="1013"/>
      <c r="P380" s="1013"/>
    </row>
    <row r="381" spans="1:17" s="1013" customFormat="1" ht="31" outlineLevel="1" x14ac:dyDescent="0.25">
      <c r="A381" s="1153">
        <f t="shared" ref="A381:E396" si="97">A328</f>
        <v>2</v>
      </c>
      <c r="B381" s="1154" t="str">
        <f t="shared" si="96"/>
        <v>Various schemes of Hydro Power Stations at HPC Pune &amp; HPC Nasik</v>
      </c>
      <c r="C381" s="1153" t="str">
        <f t="shared" si="96"/>
        <v>MERC/TECH 12/CAPEX/20142015/00876</v>
      </c>
      <c r="D381" s="1325">
        <f t="shared" si="96"/>
        <v>41871</v>
      </c>
      <c r="E381" s="1326">
        <f t="shared" si="96"/>
        <v>1.5511999999999999</v>
      </c>
      <c r="F381" s="1327">
        <f t="shared" ref="F381:F428" si="98">F328+I328</f>
        <v>0</v>
      </c>
      <c r="G381" s="1327">
        <f t="shared" ref="G381:G428" si="99">G328+M328</f>
        <v>0</v>
      </c>
      <c r="H381" s="1327">
        <f t="shared" ref="H381:H428" si="100">F381-G381</f>
        <v>0</v>
      </c>
      <c r="I381" s="1327">
        <v>0</v>
      </c>
      <c r="J381" s="1327">
        <v>0</v>
      </c>
      <c r="K381" s="1327"/>
      <c r="L381" s="1327"/>
      <c r="M381" s="1327">
        <f t="shared" ref="M381" si="101">SUM(J381:L381)</f>
        <v>0</v>
      </c>
      <c r="N381" s="1327">
        <f t="shared" ref="N381:N428" si="102">H381+I381-M381</f>
        <v>0</v>
      </c>
      <c r="O381" s="1159">
        <f t="shared" ref="O381:O403" si="103">MAX(0,IF(M381=0,0,IF(G381+M381&lt;E381,M381,E381-G381)))</f>
        <v>0</v>
      </c>
      <c r="P381" s="1014">
        <f t="shared" ref="P381:P403" si="104">M381-O381</f>
        <v>0</v>
      </c>
    </row>
    <row r="382" spans="1:17" ht="31" outlineLevel="1" x14ac:dyDescent="0.25">
      <c r="A382" s="1160">
        <f t="shared" si="97"/>
        <v>2.4</v>
      </c>
      <c r="B382" s="1328" t="str">
        <f t="shared" si="96"/>
        <v>Replacement of existing AVR by SEE DVR system for Varasgaon Hydro Power Station.</v>
      </c>
      <c r="C382" s="1160" t="str">
        <f t="shared" si="96"/>
        <v>MERC/TECH 12/CAPEX/20142015/00876</v>
      </c>
      <c r="D382" s="1010">
        <f t="shared" si="96"/>
        <v>41871</v>
      </c>
      <c r="E382" s="1329">
        <f t="shared" si="96"/>
        <v>0.52</v>
      </c>
      <c r="F382" s="1334">
        <f t="shared" si="98"/>
        <v>0.30932749999999998</v>
      </c>
      <c r="G382" s="1334">
        <f t="shared" si="99"/>
        <v>0.30932749999999998</v>
      </c>
      <c r="H382" s="1334">
        <f t="shared" si="100"/>
        <v>0</v>
      </c>
      <c r="I382" s="1327">
        <v>0</v>
      </c>
      <c r="J382" s="1327">
        <v>0</v>
      </c>
      <c r="K382" s="1334"/>
      <c r="L382" s="1334"/>
      <c r="M382" s="1334">
        <f t="shared" ref="M382:M402" si="105">SUM(J382:L382)</f>
        <v>0</v>
      </c>
      <c r="N382" s="1334">
        <f t="shared" si="102"/>
        <v>0</v>
      </c>
      <c r="O382" s="1159">
        <f t="shared" si="103"/>
        <v>0</v>
      </c>
      <c r="P382" s="1014">
        <f t="shared" si="104"/>
        <v>0</v>
      </c>
    </row>
    <row r="383" spans="1:17" ht="31" outlineLevel="1" x14ac:dyDescent="0.25">
      <c r="A383" s="1160">
        <f t="shared" si="97"/>
        <v>2.5</v>
      </c>
      <c r="B383" s="1328" t="str">
        <f t="shared" si="96"/>
        <v xml:space="preserve"> Construction of Resthouse at Dimbhe HPS</v>
      </c>
      <c r="C383" s="1160" t="str">
        <f t="shared" si="96"/>
        <v>MERC/TECH 12/CAPEX/20142015/00876</v>
      </c>
      <c r="D383" s="1010">
        <f t="shared" si="96"/>
        <v>41871</v>
      </c>
      <c r="E383" s="1329">
        <f t="shared" si="96"/>
        <v>0.7</v>
      </c>
      <c r="F383" s="1334">
        <f t="shared" si="98"/>
        <v>0.73791230399999996</v>
      </c>
      <c r="G383" s="1334">
        <f t="shared" si="99"/>
        <v>0.73791230399999996</v>
      </c>
      <c r="H383" s="1334">
        <f t="shared" si="100"/>
        <v>0</v>
      </c>
      <c r="I383" s="1327">
        <v>0</v>
      </c>
      <c r="J383" s="1327">
        <v>0</v>
      </c>
      <c r="K383" s="1334"/>
      <c r="L383" s="1334"/>
      <c r="M383" s="1334">
        <f t="shared" si="105"/>
        <v>0</v>
      </c>
      <c r="N383" s="1334">
        <f t="shared" si="102"/>
        <v>0</v>
      </c>
      <c r="O383" s="1159">
        <f t="shared" si="103"/>
        <v>0</v>
      </c>
      <c r="P383" s="1014">
        <f t="shared" si="104"/>
        <v>0</v>
      </c>
      <c r="Q383" s="1013"/>
    </row>
    <row r="384" spans="1:17" ht="31" outlineLevel="1" x14ac:dyDescent="0.25">
      <c r="A384" s="1160">
        <f t="shared" si="97"/>
        <v>0</v>
      </c>
      <c r="B384" s="1328" t="str">
        <f t="shared" si="96"/>
        <v>IDC</v>
      </c>
      <c r="C384" s="1160" t="str">
        <f t="shared" si="96"/>
        <v>MERC/TECH 12/CAPEX/20142015/00876</v>
      </c>
      <c r="D384" s="1010">
        <f t="shared" si="96"/>
        <v>41871</v>
      </c>
      <c r="E384" s="1329">
        <f t="shared" si="96"/>
        <v>0.33119999999999999</v>
      </c>
      <c r="F384" s="1334">
        <f t="shared" si="98"/>
        <v>0</v>
      </c>
      <c r="G384" s="1334">
        <f t="shared" si="99"/>
        <v>0</v>
      </c>
      <c r="H384" s="1334">
        <f t="shared" si="100"/>
        <v>0</v>
      </c>
      <c r="I384" s="1327">
        <v>0</v>
      </c>
      <c r="J384" s="1327">
        <v>0</v>
      </c>
      <c r="K384" s="1334"/>
      <c r="L384" s="1334"/>
      <c r="M384" s="1334">
        <f t="shared" si="105"/>
        <v>0</v>
      </c>
      <c r="N384" s="1334">
        <f t="shared" si="102"/>
        <v>0</v>
      </c>
      <c r="O384" s="1159">
        <f t="shared" si="103"/>
        <v>0</v>
      </c>
      <c r="P384" s="1014">
        <f t="shared" si="104"/>
        <v>0</v>
      </c>
      <c r="Q384" s="1013"/>
    </row>
    <row r="385" spans="1:17" s="1013" customFormat="1" ht="31" outlineLevel="1" x14ac:dyDescent="0.25">
      <c r="A385" s="1153">
        <f t="shared" si="97"/>
        <v>5</v>
      </c>
      <c r="B385" s="1154" t="str">
        <f t="shared" si="96"/>
        <v>Various Civil schemes for Modernisations of colonies at Various Locations under Pune HPC</v>
      </c>
      <c r="C385" s="1153" t="str">
        <f t="shared" si="96"/>
        <v>MERC/CAPEX/20162017/01745</v>
      </c>
      <c r="D385" s="1325">
        <f t="shared" si="96"/>
        <v>42825</v>
      </c>
      <c r="E385" s="1326">
        <f t="shared" si="96"/>
        <v>12.812999999999999</v>
      </c>
      <c r="F385" s="1327">
        <f t="shared" si="98"/>
        <v>0</v>
      </c>
      <c r="G385" s="1327">
        <f t="shared" si="99"/>
        <v>0</v>
      </c>
      <c r="H385" s="1327">
        <f t="shared" si="100"/>
        <v>0</v>
      </c>
      <c r="I385" s="1327">
        <v>0</v>
      </c>
      <c r="J385" s="1327">
        <v>0</v>
      </c>
      <c r="K385" s="1327"/>
      <c r="L385" s="1327"/>
      <c r="M385" s="1327">
        <f t="shared" si="105"/>
        <v>0</v>
      </c>
      <c r="N385" s="1327">
        <f t="shared" si="102"/>
        <v>0</v>
      </c>
      <c r="O385" s="1159">
        <f t="shared" si="103"/>
        <v>0</v>
      </c>
      <c r="P385" s="1014">
        <f t="shared" si="104"/>
        <v>0</v>
      </c>
    </row>
    <row r="386" spans="1:17" ht="15.5" outlineLevel="1" x14ac:dyDescent="0.25">
      <c r="A386" s="1160">
        <f t="shared" si="97"/>
        <v>5.0999999999999996</v>
      </c>
      <c r="B386" s="1328" t="str">
        <f t="shared" si="96"/>
        <v>Refurbishing of Residential complex</v>
      </c>
      <c r="C386" s="1160" t="str">
        <f t="shared" si="96"/>
        <v>MERC/CAPEX/20162017/01745</v>
      </c>
      <c r="D386" s="1010">
        <f t="shared" si="96"/>
        <v>42825</v>
      </c>
      <c r="E386" s="1329">
        <f t="shared" si="96"/>
        <v>2.415</v>
      </c>
      <c r="F386" s="1334">
        <f t="shared" si="98"/>
        <v>1.2675034840000001</v>
      </c>
      <c r="G386" s="1334">
        <f t="shared" si="99"/>
        <v>1.2675034840000001</v>
      </c>
      <c r="H386" s="1334">
        <f t="shared" si="100"/>
        <v>0</v>
      </c>
      <c r="I386" s="1327">
        <v>0</v>
      </c>
      <c r="J386" s="1327">
        <v>0</v>
      </c>
      <c r="K386" s="1334"/>
      <c r="L386" s="1334"/>
      <c r="M386" s="1334">
        <f t="shared" si="105"/>
        <v>0</v>
      </c>
      <c r="N386" s="1334">
        <f t="shared" si="102"/>
        <v>0</v>
      </c>
      <c r="O386" s="1159">
        <f t="shared" si="103"/>
        <v>0</v>
      </c>
      <c r="P386" s="1014">
        <f t="shared" si="104"/>
        <v>0</v>
      </c>
      <c r="Q386" s="1013"/>
    </row>
    <row r="387" spans="1:17" ht="15.5" outlineLevel="1" x14ac:dyDescent="0.25">
      <c r="A387" s="1160">
        <f t="shared" si="97"/>
        <v>5.2</v>
      </c>
      <c r="B387" s="1328" t="str">
        <f t="shared" si="96"/>
        <v>Internal Roads</v>
      </c>
      <c r="C387" s="1160" t="str">
        <f t="shared" si="96"/>
        <v>MERC/CAPEX/20162017/01745</v>
      </c>
      <c r="D387" s="1010">
        <f t="shared" si="96"/>
        <v>42825</v>
      </c>
      <c r="E387" s="1329">
        <f t="shared" si="96"/>
        <v>2.29</v>
      </c>
      <c r="F387" s="1334">
        <f t="shared" si="98"/>
        <v>1.6182413759999996</v>
      </c>
      <c r="G387" s="1334">
        <f t="shared" si="99"/>
        <v>1.6182413759999998</v>
      </c>
      <c r="H387" s="1334">
        <f t="shared" si="100"/>
        <v>0</v>
      </c>
      <c r="I387" s="1327">
        <v>0</v>
      </c>
      <c r="J387" s="1327">
        <v>0</v>
      </c>
      <c r="K387" s="1334"/>
      <c r="L387" s="1334"/>
      <c r="M387" s="1334">
        <f t="shared" si="105"/>
        <v>0</v>
      </c>
      <c r="N387" s="1334">
        <f t="shared" si="102"/>
        <v>0</v>
      </c>
      <c r="O387" s="1159">
        <f t="shared" si="103"/>
        <v>0</v>
      </c>
      <c r="P387" s="1014">
        <f t="shared" si="104"/>
        <v>0</v>
      </c>
      <c r="Q387" s="1013"/>
    </row>
    <row r="388" spans="1:17" ht="15.5" outlineLevel="1" x14ac:dyDescent="0.25">
      <c r="A388" s="1160">
        <f t="shared" si="97"/>
        <v>5.3</v>
      </c>
      <c r="B388" s="1328" t="str">
        <f t="shared" si="96"/>
        <v>Water supply, filteration &amp;  Sanitary works</v>
      </c>
      <c r="C388" s="1160" t="str">
        <f t="shared" si="96"/>
        <v>MERC/CAPEX/20162017/01745</v>
      </c>
      <c r="D388" s="1010">
        <f t="shared" si="96"/>
        <v>42825</v>
      </c>
      <c r="E388" s="1329">
        <f t="shared" si="96"/>
        <v>1.427</v>
      </c>
      <c r="F388" s="1334">
        <f t="shared" si="98"/>
        <v>0.57282329500000007</v>
      </c>
      <c r="G388" s="1334">
        <f t="shared" si="99"/>
        <v>0.57282329500000007</v>
      </c>
      <c r="H388" s="1334">
        <f t="shared" si="100"/>
        <v>0</v>
      </c>
      <c r="I388" s="1327">
        <v>0</v>
      </c>
      <c r="J388" s="1327">
        <v>0</v>
      </c>
      <c r="K388" s="1334"/>
      <c r="L388" s="1334"/>
      <c r="M388" s="1334">
        <f t="shared" si="105"/>
        <v>0</v>
      </c>
      <c r="N388" s="1334">
        <f t="shared" si="102"/>
        <v>0</v>
      </c>
      <c r="O388" s="1159">
        <f t="shared" si="103"/>
        <v>0</v>
      </c>
      <c r="P388" s="1014">
        <f t="shared" si="104"/>
        <v>0</v>
      </c>
      <c r="Q388" s="1013"/>
    </row>
    <row r="389" spans="1:17" ht="15.5" outlineLevel="1" x14ac:dyDescent="0.25">
      <c r="A389" s="1160">
        <f t="shared" si="97"/>
        <v>5.4</v>
      </c>
      <c r="B389" s="1328" t="str">
        <f t="shared" si="96"/>
        <v>Compound walls</v>
      </c>
      <c r="C389" s="1160" t="str">
        <f t="shared" si="96"/>
        <v>MERC/CAPEX/20162017/01745</v>
      </c>
      <c r="D389" s="1010">
        <f t="shared" si="96"/>
        <v>42825</v>
      </c>
      <c r="E389" s="1329">
        <f t="shared" si="96"/>
        <v>6.681</v>
      </c>
      <c r="F389" s="1334">
        <f t="shared" si="98"/>
        <v>7.5560763239999993</v>
      </c>
      <c r="G389" s="1334">
        <f t="shared" si="99"/>
        <v>7.5560763239999993</v>
      </c>
      <c r="H389" s="1334">
        <f t="shared" si="100"/>
        <v>0</v>
      </c>
      <c r="I389" s="1327">
        <v>0</v>
      </c>
      <c r="J389" s="1327">
        <v>0</v>
      </c>
      <c r="K389" s="1334"/>
      <c r="L389" s="1334"/>
      <c r="M389" s="1334">
        <f t="shared" si="105"/>
        <v>0</v>
      </c>
      <c r="N389" s="1334">
        <f t="shared" si="102"/>
        <v>0</v>
      </c>
      <c r="O389" s="1159">
        <f t="shared" si="103"/>
        <v>0</v>
      </c>
      <c r="P389" s="1014">
        <f t="shared" si="104"/>
        <v>0</v>
      </c>
      <c r="Q389" s="1013">
        <v>-2.3408937000000074E-2</v>
      </c>
    </row>
    <row r="390" spans="1:17" s="1013" customFormat="1" ht="31" outlineLevel="1" x14ac:dyDescent="0.25">
      <c r="A390" s="1153">
        <f t="shared" si="97"/>
        <v>14</v>
      </c>
      <c r="B390" s="1154" t="str">
        <f t="shared" si="96"/>
        <v>Various 14 Nos. of schemes for Hydro Power Stations under Renewable Energy Circle, Pune &amp; Nasik</v>
      </c>
      <c r="C390" s="1153" t="str">
        <f t="shared" si="96"/>
        <v>MERC/CAPEX/2020-21/WFH/SBR/ 19</v>
      </c>
      <c r="D390" s="1325">
        <f t="shared" si="96"/>
        <v>44029</v>
      </c>
      <c r="E390" s="1326">
        <f t="shared" si="96"/>
        <v>1.9079999999999999</v>
      </c>
      <c r="F390" s="1327">
        <f t="shared" si="98"/>
        <v>0</v>
      </c>
      <c r="G390" s="1327">
        <f t="shared" si="99"/>
        <v>0</v>
      </c>
      <c r="H390" s="1327">
        <f t="shared" si="100"/>
        <v>0</v>
      </c>
      <c r="I390" s="1327">
        <v>0</v>
      </c>
      <c r="J390" s="1327">
        <v>0</v>
      </c>
      <c r="K390" s="1327"/>
      <c r="L390" s="1327"/>
      <c r="M390" s="1327">
        <f t="shared" si="105"/>
        <v>0</v>
      </c>
      <c r="N390" s="1327">
        <f t="shared" si="102"/>
        <v>0</v>
      </c>
      <c r="O390" s="1159">
        <f t="shared" si="103"/>
        <v>0</v>
      </c>
      <c r="P390" s="1014">
        <f t="shared" si="104"/>
        <v>0</v>
      </c>
    </row>
    <row r="391" spans="1:17" ht="31" outlineLevel="1" x14ac:dyDescent="0.25">
      <c r="A391" s="1160">
        <f t="shared" si="97"/>
        <v>14.1</v>
      </c>
      <c r="B391" s="1328" t="str">
        <f t="shared" si="96"/>
        <v>Schme-A: Retrofitting of 12 KV Breakers at Ujjani Hydro Power Station</v>
      </c>
      <c r="C391" s="1160" t="str">
        <f t="shared" si="96"/>
        <v>MERC/CAPEX/2020-21/WFH/SBR/ 19</v>
      </c>
      <c r="D391" s="1010">
        <f t="shared" si="96"/>
        <v>44029</v>
      </c>
      <c r="E391" s="1329">
        <f t="shared" si="96"/>
        <v>0.39500000000000002</v>
      </c>
      <c r="F391" s="1334">
        <f t="shared" si="98"/>
        <v>0.26762399999999997</v>
      </c>
      <c r="G391" s="1334">
        <f t="shared" si="99"/>
        <v>0.26762399999999997</v>
      </c>
      <c r="H391" s="1334">
        <f t="shared" si="100"/>
        <v>0</v>
      </c>
      <c r="I391" s="1327">
        <v>0</v>
      </c>
      <c r="J391" s="1327">
        <v>0</v>
      </c>
      <c r="K391" s="1334"/>
      <c r="L391" s="1334"/>
      <c r="M391" s="1334">
        <f t="shared" si="105"/>
        <v>0</v>
      </c>
      <c r="N391" s="1334">
        <f t="shared" si="102"/>
        <v>0</v>
      </c>
      <c r="O391" s="1159">
        <f t="shared" si="103"/>
        <v>0</v>
      </c>
      <c r="P391" s="1014">
        <f t="shared" si="104"/>
        <v>0</v>
      </c>
      <c r="Q391" s="1013"/>
    </row>
    <row r="392" spans="1:17" ht="31" outlineLevel="1" x14ac:dyDescent="0.25">
      <c r="A392" s="1160">
        <f t="shared" si="97"/>
        <v>14.3</v>
      </c>
      <c r="B392" s="1328" t="str">
        <f t="shared" si="96"/>
        <v>Schme-C :Replacement of existing Energy meters by 0.2S Class Energy meters at various HPS.</v>
      </c>
      <c r="C392" s="1160" t="str">
        <f t="shared" si="96"/>
        <v>MERC/CAPEX/2020-21/WFH/SBR/ 19</v>
      </c>
      <c r="D392" s="1010">
        <f t="shared" si="96"/>
        <v>44029</v>
      </c>
      <c r="E392" s="1329">
        <f t="shared" si="96"/>
        <v>0.10199999999999999</v>
      </c>
      <c r="F392" s="1334">
        <f t="shared" si="98"/>
        <v>9.6156000000000005E-2</v>
      </c>
      <c r="G392" s="1334">
        <f t="shared" si="99"/>
        <v>7.969248000000001E-2</v>
      </c>
      <c r="H392" s="1334">
        <f t="shared" si="100"/>
        <v>1.6463519999999995E-2</v>
      </c>
      <c r="I392" s="1327">
        <v>0</v>
      </c>
      <c r="J392" s="1327">
        <v>0</v>
      </c>
      <c r="K392" s="1334"/>
      <c r="L392" s="1334"/>
      <c r="M392" s="1334">
        <f t="shared" si="105"/>
        <v>0</v>
      </c>
      <c r="N392" s="1334">
        <f t="shared" si="102"/>
        <v>1.6463519999999995E-2</v>
      </c>
      <c r="O392" s="1159">
        <f t="shared" si="103"/>
        <v>0</v>
      </c>
      <c r="P392" s="1014">
        <f t="shared" si="104"/>
        <v>0</v>
      </c>
      <c r="Q392" s="1013"/>
    </row>
    <row r="393" spans="1:17" ht="31" outlineLevel="1" x14ac:dyDescent="0.25">
      <c r="A393" s="1160">
        <f t="shared" si="97"/>
        <v>14.4</v>
      </c>
      <c r="B393" s="1328" t="str">
        <f t="shared" si="96"/>
        <v>Schme-D: Providing Oil Filtration Machines for all Divisions of REC, Pune</v>
      </c>
      <c r="C393" s="1160" t="str">
        <f t="shared" si="96"/>
        <v>MERC/CAPEX/2020-21/WFH/SBR/ 19</v>
      </c>
      <c r="D393" s="1010">
        <f t="shared" si="96"/>
        <v>44029</v>
      </c>
      <c r="E393" s="1329">
        <f t="shared" si="96"/>
        <v>0.56100000000000005</v>
      </c>
      <c r="F393" s="1334">
        <f t="shared" si="98"/>
        <v>0.2723912</v>
      </c>
      <c r="G393" s="1334">
        <f t="shared" si="99"/>
        <v>0.2723912</v>
      </c>
      <c r="H393" s="1334">
        <f t="shared" si="100"/>
        <v>0</v>
      </c>
      <c r="I393" s="1327">
        <v>0</v>
      </c>
      <c r="J393" s="1327">
        <v>0</v>
      </c>
      <c r="K393" s="1334"/>
      <c r="L393" s="1334"/>
      <c r="M393" s="1334">
        <f t="shared" si="105"/>
        <v>0</v>
      </c>
      <c r="N393" s="1334">
        <f t="shared" si="102"/>
        <v>0</v>
      </c>
      <c r="O393" s="1159">
        <f t="shared" si="103"/>
        <v>0</v>
      </c>
      <c r="P393" s="1014">
        <f t="shared" si="104"/>
        <v>0</v>
      </c>
      <c r="Q393" s="1013"/>
    </row>
    <row r="394" spans="1:17" ht="15.5" outlineLevel="1" x14ac:dyDescent="0.25">
      <c r="A394" s="1160">
        <f t="shared" si="97"/>
        <v>0</v>
      </c>
      <c r="B394" s="1328" t="str">
        <f t="shared" si="96"/>
        <v>IDC</v>
      </c>
      <c r="C394" s="1160" t="str">
        <f t="shared" si="96"/>
        <v>MERC/CAPEX/2020-21/WFH/SBR/ 19</v>
      </c>
      <c r="D394" s="1010">
        <f t="shared" si="96"/>
        <v>44029</v>
      </c>
      <c r="E394" s="1329">
        <f t="shared" si="96"/>
        <v>0.85</v>
      </c>
      <c r="F394" s="1334">
        <f t="shared" si="98"/>
        <v>0</v>
      </c>
      <c r="G394" s="1334">
        <f t="shared" si="99"/>
        <v>0</v>
      </c>
      <c r="H394" s="1334">
        <f t="shared" si="100"/>
        <v>0</v>
      </c>
      <c r="I394" s="1327">
        <v>0</v>
      </c>
      <c r="J394" s="1327">
        <v>0</v>
      </c>
      <c r="K394" s="1334"/>
      <c r="L394" s="1334"/>
      <c r="M394" s="1334">
        <f t="shared" si="105"/>
        <v>0</v>
      </c>
      <c r="N394" s="1334">
        <f t="shared" si="102"/>
        <v>0</v>
      </c>
      <c r="O394" s="1159">
        <f t="shared" si="103"/>
        <v>0</v>
      </c>
      <c r="P394" s="1014">
        <f t="shared" si="104"/>
        <v>0</v>
      </c>
      <c r="Q394" s="1013"/>
    </row>
    <row r="395" spans="1:17" s="1013" customFormat="1" ht="31" outlineLevel="1" x14ac:dyDescent="0.25">
      <c r="A395" s="1153">
        <f t="shared" si="97"/>
        <v>16</v>
      </c>
      <c r="B395" s="1154" t="str">
        <f t="shared" si="97"/>
        <v>Various 6 Nos. Schemes for Hydro Power Stations under Renewable Energy Circle, Pune</v>
      </c>
      <c r="C395" s="1153" t="str">
        <f t="shared" si="97"/>
        <v>MERC/CAPEX/2020-2021/WFH/ SBR/22</v>
      </c>
      <c r="D395" s="1325">
        <f t="shared" si="97"/>
        <v>44037</v>
      </c>
      <c r="E395" s="1326">
        <f t="shared" si="97"/>
        <v>10.861000000000001</v>
      </c>
      <c r="F395" s="1327">
        <f t="shared" si="98"/>
        <v>0</v>
      </c>
      <c r="G395" s="1327">
        <f t="shared" si="99"/>
        <v>0</v>
      </c>
      <c r="H395" s="1327">
        <f t="shared" si="100"/>
        <v>0</v>
      </c>
      <c r="I395" s="1327">
        <v>0</v>
      </c>
      <c r="J395" s="1327">
        <v>0</v>
      </c>
      <c r="K395" s="1327"/>
      <c r="L395" s="1327"/>
      <c r="M395" s="1327">
        <f t="shared" si="105"/>
        <v>0</v>
      </c>
      <c r="N395" s="1327">
        <f t="shared" si="102"/>
        <v>0</v>
      </c>
      <c r="O395" s="1159">
        <f t="shared" si="103"/>
        <v>0</v>
      </c>
      <c r="P395" s="1014">
        <f t="shared" si="104"/>
        <v>0</v>
      </c>
    </row>
    <row r="396" spans="1:17" ht="31" outlineLevel="1" x14ac:dyDescent="0.25">
      <c r="A396" s="1160">
        <f t="shared" si="97"/>
        <v>16.100000000000001</v>
      </c>
      <c r="B396" s="1328" t="str">
        <f t="shared" si="97"/>
        <v>Replacement of existing Air Compressors at Bhira, Tilari, Pawana and Ujjani Hydro Power Stations under REC, Pune</v>
      </c>
      <c r="C396" s="1160" t="str">
        <f t="shared" si="97"/>
        <v>MERC/CAPEX/2020-2021/WFH/ SBR/22</v>
      </c>
      <c r="D396" s="1010">
        <f t="shared" si="97"/>
        <v>44037</v>
      </c>
      <c r="E396" s="1329">
        <f t="shared" si="97"/>
        <v>0.95099999999999996</v>
      </c>
      <c r="F396" s="1334">
        <f t="shared" si="98"/>
        <v>0.61</v>
      </c>
      <c r="G396" s="1334">
        <f t="shared" si="99"/>
        <v>0.61</v>
      </c>
      <c r="H396" s="1334">
        <f t="shared" si="100"/>
        <v>0</v>
      </c>
      <c r="I396" s="1327">
        <v>0</v>
      </c>
      <c r="J396" s="1327">
        <v>0</v>
      </c>
      <c r="K396" s="1334"/>
      <c r="L396" s="1334"/>
      <c r="M396" s="1334">
        <f t="shared" si="105"/>
        <v>0</v>
      </c>
      <c r="N396" s="1334">
        <f t="shared" si="102"/>
        <v>0</v>
      </c>
      <c r="O396" s="1159">
        <f t="shared" si="103"/>
        <v>0</v>
      </c>
      <c r="P396" s="1014">
        <f t="shared" si="104"/>
        <v>0</v>
      </c>
      <c r="Q396" s="1013"/>
    </row>
    <row r="397" spans="1:17" ht="62" outlineLevel="1" x14ac:dyDescent="0.25">
      <c r="A397" s="1160">
        <f t="shared" ref="A397:E412" si="106">A344</f>
        <v>16.2</v>
      </c>
      <c r="B397" s="1328" t="str">
        <f t="shared" si="106"/>
        <v>Replacement of existing Air conditioners of Plant Control Rooms at Ujjani, Warna, Kanher, Dhom, Dimbhe &amp; Dudhganga
HPS.</v>
      </c>
      <c r="C397" s="1160" t="str">
        <f t="shared" si="106"/>
        <v>MERC/CAPEX/2020-2021/WFH/ SBR/22</v>
      </c>
      <c r="D397" s="1010">
        <f t="shared" si="106"/>
        <v>44037</v>
      </c>
      <c r="E397" s="1329">
        <f t="shared" si="106"/>
        <v>0.29199999999999998</v>
      </c>
      <c r="F397" s="1334">
        <f t="shared" si="98"/>
        <v>0.25256440000000002</v>
      </c>
      <c r="G397" s="1334">
        <f t="shared" si="99"/>
        <v>0.25256440000000002</v>
      </c>
      <c r="H397" s="1334">
        <f t="shared" si="100"/>
        <v>0</v>
      </c>
      <c r="I397" s="1327">
        <v>0</v>
      </c>
      <c r="J397" s="1327">
        <v>0</v>
      </c>
      <c r="K397" s="1334"/>
      <c r="L397" s="1334"/>
      <c r="M397" s="1334">
        <f t="shared" si="105"/>
        <v>0</v>
      </c>
      <c r="N397" s="1334">
        <f t="shared" si="102"/>
        <v>0</v>
      </c>
      <c r="O397" s="1159">
        <f t="shared" si="103"/>
        <v>0</v>
      </c>
      <c r="P397" s="1014">
        <f t="shared" si="104"/>
        <v>0</v>
      </c>
      <c r="Q397" s="1013"/>
    </row>
    <row r="398" spans="1:17" ht="46.5" outlineLevel="1" x14ac:dyDescent="0.25">
      <c r="A398" s="1160">
        <f t="shared" si="106"/>
        <v>16.399999999999999</v>
      </c>
      <c r="B398" s="1328" t="str">
        <f t="shared" si="106"/>
        <v>Replacement of 220 V, 400/300 AH Battery set with Tubular type Battery Banks at Bhira, Tilari, Kanher, Dimbhe and Ujani Hydro Power Stations.</v>
      </c>
      <c r="C398" s="1160" t="str">
        <f t="shared" si="106"/>
        <v>MERC/CAPEX/2020-2021/WFH/ SBR/22</v>
      </c>
      <c r="D398" s="1010">
        <f t="shared" si="106"/>
        <v>44037</v>
      </c>
      <c r="E398" s="1329">
        <f t="shared" si="106"/>
        <v>0.89999999999999991</v>
      </c>
      <c r="F398" s="1334">
        <f t="shared" si="98"/>
        <v>0.35828399999999999</v>
      </c>
      <c r="G398" s="1334">
        <f t="shared" si="99"/>
        <v>0.35828399999999999</v>
      </c>
      <c r="H398" s="1334">
        <f t="shared" si="100"/>
        <v>0</v>
      </c>
      <c r="I398" s="1327">
        <v>0</v>
      </c>
      <c r="J398" s="1327">
        <v>0</v>
      </c>
      <c r="K398" s="1334"/>
      <c r="L398" s="1334"/>
      <c r="M398" s="1334">
        <f t="shared" si="105"/>
        <v>0</v>
      </c>
      <c r="N398" s="1334">
        <f t="shared" si="102"/>
        <v>0</v>
      </c>
      <c r="O398" s="1159">
        <f t="shared" si="103"/>
        <v>0</v>
      </c>
      <c r="P398" s="1014">
        <f t="shared" si="104"/>
        <v>0</v>
      </c>
      <c r="Q398" s="1013"/>
    </row>
    <row r="399" spans="1:17" ht="31" outlineLevel="1" x14ac:dyDescent="0.25">
      <c r="A399" s="1160">
        <f t="shared" si="106"/>
        <v>16.5</v>
      </c>
      <c r="B399" s="1328" t="str">
        <f t="shared" si="106"/>
        <v>Supply, installation and commissioning of Kaplan Turbine Runner Blades from BHEL (OEM) for Dudhganga U#1.</v>
      </c>
      <c r="C399" s="1160" t="str">
        <f t="shared" si="106"/>
        <v>MERC/CAPEX/2020-2021/WFH/ SBR/22</v>
      </c>
      <c r="D399" s="1010">
        <f t="shared" si="106"/>
        <v>44037</v>
      </c>
      <c r="E399" s="1329">
        <f t="shared" si="106"/>
        <v>4.657</v>
      </c>
      <c r="F399" s="1334">
        <f t="shared" si="98"/>
        <v>4.5730371359999999</v>
      </c>
      <c r="G399" s="1334">
        <f t="shared" si="99"/>
        <v>4.5799459359999997</v>
      </c>
      <c r="H399" s="1334">
        <f t="shared" si="100"/>
        <v>-6.9087999999997152E-3</v>
      </c>
      <c r="I399" s="1327">
        <v>0</v>
      </c>
      <c r="J399" s="1327">
        <v>0</v>
      </c>
      <c r="K399" s="1334"/>
      <c r="L399" s="1334"/>
      <c r="M399" s="1334">
        <f t="shared" si="105"/>
        <v>0</v>
      </c>
      <c r="N399" s="1334">
        <f t="shared" si="102"/>
        <v>-6.9087999999997152E-3</v>
      </c>
      <c r="O399" s="1159">
        <f t="shared" si="103"/>
        <v>0</v>
      </c>
      <c r="P399" s="1014">
        <f t="shared" si="104"/>
        <v>0</v>
      </c>
    </row>
    <row r="400" spans="1:17" ht="46.5" outlineLevel="1" x14ac:dyDescent="0.25">
      <c r="A400" s="1160">
        <f t="shared" si="106"/>
        <v>16.600000000000001</v>
      </c>
      <c r="B400" s="1328" t="str">
        <f t="shared" si="106"/>
        <v>Replacement of existing Protection Systems with Numerical Protection system at Bhira, Panshet, Varasgaon, Dimbhe &amp; Manikdoh HPS.</v>
      </c>
      <c r="C400" s="1160" t="str">
        <f t="shared" si="106"/>
        <v>MERC/CAPEX/2020-2021/WFH/ SBR/22</v>
      </c>
      <c r="D400" s="1010">
        <f t="shared" si="106"/>
        <v>44037</v>
      </c>
      <c r="E400" s="1329">
        <f t="shared" si="106"/>
        <v>3.6220000000000003</v>
      </c>
      <c r="F400" s="1334">
        <f t="shared" si="98"/>
        <v>2.13395</v>
      </c>
      <c r="G400" s="1334">
        <f t="shared" si="99"/>
        <v>2.13395</v>
      </c>
      <c r="H400" s="1334">
        <f t="shared" si="100"/>
        <v>0</v>
      </c>
      <c r="I400" s="1327">
        <v>0</v>
      </c>
      <c r="J400" s="1327">
        <v>0</v>
      </c>
      <c r="K400" s="1334"/>
      <c r="L400" s="1334"/>
      <c r="M400" s="1334">
        <f t="shared" si="105"/>
        <v>0</v>
      </c>
      <c r="N400" s="1334">
        <f t="shared" si="102"/>
        <v>0</v>
      </c>
      <c r="O400" s="1159">
        <f t="shared" si="103"/>
        <v>0</v>
      </c>
      <c r="P400" s="1014">
        <f t="shared" si="104"/>
        <v>0</v>
      </c>
    </row>
    <row r="401" spans="1:16" ht="31" outlineLevel="1" x14ac:dyDescent="0.25">
      <c r="A401" s="1160">
        <f t="shared" si="106"/>
        <v>0</v>
      </c>
      <c r="B401" s="1328" t="str">
        <f t="shared" si="106"/>
        <v>IDC</v>
      </c>
      <c r="C401" s="1160" t="str">
        <f t="shared" si="106"/>
        <v>MERC/CAPEX/2020-2021/WFH/ SBR/22</v>
      </c>
      <c r="D401" s="1010">
        <f t="shared" si="106"/>
        <v>44037</v>
      </c>
      <c r="E401" s="1329">
        <f t="shared" si="106"/>
        <v>0.439</v>
      </c>
      <c r="F401" s="1334">
        <f t="shared" si="98"/>
        <v>0</v>
      </c>
      <c r="G401" s="1334">
        <f t="shared" si="99"/>
        <v>0</v>
      </c>
      <c r="H401" s="1334">
        <f t="shared" si="100"/>
        <v>0</v>
      </c>
      <c r="I401" s="1327">
        <v>0</v>
      </c>
      <c r="J401" s="1327">
        <v>0</v>
      </c>
      <c r="K401" s="1334"/>
      <c r="L401" s="1334"/>
      <c r="M401" s="1334">
        <f t="shared" si="105"/>
        <v>0</v>
      </c>
      <c r="N401" s="1334">
        <f t="shared" si="102"/>
        <v>0</v>
      </c>
      <c r="O401" s="1159">
        <f t="shared" si="103"/>
        <v>0</v>
      </c>
      <c r="P401" s="1014">
        <f t="shared" si="104"/>
        <v>0</v>
      </c>
    </row>
    <row r="402" spans="1:16" ht="31" outlineLevel="1" x14ac:dyDescent="0.25">
      <c r="A402" s="1015">
        <f t="shared" si="106"/>
        <v>17</v>
      </c>
      <c r="B402" s="1016" t="str">
        <f t="shared" si="106"/>
        <v xml:space="preserve">Fortification near Panshet hydro power station for arresting rock falling on HPS Building at panshet . </v>
      </c>
      <c r="C402" s="1015" t="str">
        <f t="shared" si="106"/>
        <v xml:space="preserve">Not approved </v>
      </c>
      <c r="D402" s="1010" t="str">
        <f t="shared" si="106"/>
        <v>-</v>
      </c>
      <c r="E402" s="1330">
        <f t="shared" si="106"/>
        <v>0</v>
      </c>
      <c r="F402" s="1330">
        <f t="shared" si="98"/>
        <v>0</v>
      </c>
      <c r="G402" s="1330">
        <f t="shared" si="99"/>
        <v>0</v>
      </c>
      <c r="H402" s="1330">
        <f t="shared" si="100"/>
        <v>0</v>
      </c>
      <c r="I402" s="1327">
        <v>0</v>
      </c>
      <c r="J402" s="1327">
        <v>0</v>
      </c>
      <c r="K402" s="1330"/>
      <c r="L402" s="1330"/>
      <c r="M402" s="1330">
        <f t="shared" si="105"/>
        <v>0</v>
      </c>
      <c r="N402" s="1330">
        <f t="shared" si="102"/>
        <v>0</v>
      </c>
      <c r="O402" s="1159">
        <f t="shared" si="103"/>
        <v>0</v>
      </c>
      <c r="P402" s="1014">
        <f t="shared" si="104"/>
        <v>0</v>
      </c>
    </row>
    <row r="403" spans="1:16" ht="31" outlineLevel="1" x14ac:dyDescent="0.25">
      <c r="A403" s="1015">
        <f t="shared" si="106"/>
        <v>17.100000000000001</v>
      </c>
      <c r="B403" s="1016" t="str">
        <f t="shared" si="106"/>
        <v xml:space="preserve">Fortification near Panshet hydro power station for arresting rock falling on HPS Building at panshet . </v>
      </c>
      <c r="C403" s="1015" t="str">
        <f t="shared" si="106"/>
        <v xml:space="preserve">Not approved </v>
      </c>
      <c r="D403" s="1010" t="str">
        <f t="shared" si="106"/>
        <v>-</v>
      </c>
      <c r="E403" s="1330">
        <f t="shared" si="106"/>
        <v>0</v>
      </c>
      <c r="F403" s="1330">
        <f t="shared" si="98"/>
        <v>12.06</v>
      </c>
      <c r="G403" s="1330">
        <f t="shared" si="99"/>
        <v>0</v>
      </c>
      <c r="H403" s="1330">
        <f t="shared" si="100"/>
        <v>12.06</v>
      </c>
      <c r="I403" s="1327">
        <v>0</v>
      </c>
      <c r="J403" s="1327">
        <v>0</v>
      </c>
      <c r="K403" s="1330"/>
      <c r="L403" s="1330"/>
      <c r="M403" s="1330">
        <f t="shared" ref="M403:M428" si="107">SUM(J403:L403)</f>
        <v>0</v>
      </c>
      <c r="N403" s="1330">
        <f t="shared" si="102"/>
        <v>12.06</v>
      </c>
      <c r="O403" s="1159">
        <f t="shared" si="103"/>
        <v>0</v>
      </c>
      <c r="P403" s="1014">
        <f t="shared" si="104"/>
        <v>0</v>
      </c>
    </row>
    <row r="404" spans="1:16" ht="15.5" outlineLevel="1" x14ac:dyDescent="0.25">
      <c r="A404" s="1011">
        <f t="shared" si="106"/>
        <v>0</v>
      </c>
      <c r="B404" s="1150" t="str">
        <f t="shared" si="106"/>
        <v>(ii) Yet to be submitted to MERC</v>
      </c>
      <c r="C404" s="1011">
        <f t="shared" si="106"/>
        <v>0</v>
      </c>
      <c r="D404" s="1010" t="str">
        <f t="shared" si="106"/>
        <v>-</v>
      </c>
      <c r="E404" s="1330">
        <f t="shared" si="106"/>
        <v>0</v>
      </c>
      <c r="F404" s="1259">
        <f t="shared" si="98"/>
        <v>0</v>
      </c>
      <c r="G404" s="1259">
        <f t="shared" si="99"/>
        <v>0</v>
      </c>
      <c r="H404" s="1259">
        <f t="shared" si="100"/>
        <v>0</v>
      </c>
      <c r="I404" s="1327">
        <v>0</v>
      </c>
      <c r="J404" s="1327">
        <v>0</v>
      </c>
      <c r="K404" s="1259"/>
      <c r="L404" s="1259"/>
      <c r="M404" s="1259">
        <f t="shared" si="107"/>
        <v>0</v>
      </c>
      <c r="N404" s="1259">
        <f t="shared" si="102"/>
        <v>0</v>
      </c>
      <c r="O404" s="1013"/>
      <c r="P404" s="1013"/>
    </row>
    <row r="405" spans="1:16" ht="15.5" outlineLevel="1" x14ac:dyDescent="0.25">
      <c r="A405" s="1153">
        <f t="shared" si="106"/>
        <v>1</v>
      </c>
      <c r="B405" s="1154" t="str">
        <f t="shared" si="106"/>
        <v>DPR-5</v>
      </c>
      <c r="C405" s="1153" t="str">
        <f t="shared" si="106"/>
        <v>(ii) Yet to be submitted to MERC</v>
      </c>
      <c r="D405" s="1325" t="str">
        <f t="shared" si="106"/>
        <v>-</v>
      </c>
      <c r="E405" s="1326">
        <f t="shared" si="106"/>
        <v>0</v>
      </c>
      <c r="F405" s="1335">
        <f t="shared" si="98"/>
        <v>0</v>
      </c>
      <c r="G405" s="1335">
        <f t="shared" si="99"/>
        <v>0</v>
      </c>
      <c r="H405" s="1335">
        <f t="shared" si="100"/>
        <v>0</v>
      </c>
      <c r="I405" s="1327">
        <v>0</v>
      </c>
      <c r="J405" s="1327">
        <v>0</v>
      </c>
      <c r="K405" s="1335"/>
      <c r="L405" s="1335"/>
      <c r="M405" s="1335">
        <f t="shared" si="107"/>
        <v>0</v>
      </c>
      <c r="N405" s="1335">
        <f t="shared" si="102"/>
        <v>0</v>
      </c>
      <c r="O405" s="1013"/>
      <c r="P405" s="1013"/>
    </row>
    <row r="406" spans="1:16" ht="31" outlineLevel="1" x14ac:dyDescent="0.25">
      <c r="A406" s="1160">
        <f t="shared" si="106"/>
        <v>1.1000000000000001</v>
      </c>
      <c r="B406" s="1328" t="str">
        <f t="shared" si="106"/>
        <v>Supply, erection &amp; commissioning of Digital Governor and DAVR for Panshet HPS under REC, Pune</v>
      </c>
      <c r="C406" s="1160" t="str">
        <f t="shared" si="106"/>
        <v>(ii) Yet to be submitted to MERC</v>
      </c>
      <c r="D406" s="1010" t="str">
        <f t="shared" si="106"/>
        <v>-</v>
      </c>
      <c r="E406" s="1329">
        <f t="shared" si="106"/>
        <v>0</v>
      </c>
      <c r="F406" s="1334">
        <f t="shared" si="98"/>
        <v>4.5</v>
      </c>
      <c r="G406" s="1334">
        <f t="shared" si="99"/>
        <v>4.5</v>
      </c>
      <c r="H406" s="1334">
        <f t="shared" si="100"/>
        <v>0</v>
      </c>
      <c r="I406" s="1327">
        <v>0</v>
      </c>
      <c r="J406" s="1327">
        <v>0</v>
      </c>
      <c r="K406" s="1334"/>
      <c r="L406" s="1334"/>
      <c r="M406" s="1334">
        <f t="shared" si="107"/>
        <v>0</v>
      </c>
      <c r="N406" s="1334">
        <f t="shared" si="102"/>
        <v>0</v>
      </c>
      <c r="O406" s="1013"/>
      <c r="P406" s="1013"/>
    </row>
    <row r="407" spans="1:16" ht="31" outlineLevel="1" x14ac:dyDescent="0.25">
      <c r="A407" s="1160">
        <f t="shared" si="106"/>
        <v>1.2</v>
      </c>
      <c r="B407" s="1328" t="str">
        <f t="shared" si="106"/>
        <v xml:space="preserve">Supply, erection &amp; commissioning of Digital Governor, Excitation system (DAVR) at Warana &amp; Dudhganga HPS </v>
      </c>
      <c r="C407" s="1160" t="str">
        <f t="shared" si="106"/>
        <v>(ii) Yet to be submitted to MERC</v>
      </c>
      <c r="D407" s="1010" t="str">
        <f t="shared" si="106"/>
        <v>-</v>
      </c>
      <c r="E407" s="1329">
        <f t="shared" si="106"/>
        <v>0</v>
      </c>
      <c r="F407" s="1334">
        <f t="shared" si="98"/>
        <v>18.79</v>
      </c>
      <c r="G407" s="1334">
        <f t="shared" si="99"/>
        <v>18.79</v>
      </c>
      <c r="H407" s="1334">
        <f t="shared" si="100"/>
        <v>0</v>
      </c>
      <c r="I407" s="1327">
        <v>0</v>
      </c>
      <c r="J407" s="1327">
        <v>0</v>
      </c>
      <c r="K407" s="1334"/>
      <c r="L407" s="1334"/>
      <c r="M407" s="1334">
        <f t="shared" si="107"/>
        <v>0</v>
      </c>
      <c r="N407" s="1334">
        <f t="shared" si="102"/>
        <v>0</v>
      </c>
      <c r="O407" s="1013"/>
      <c r="P407" s="1013"/>
    </row>
    <row r="408" spans="1:16" ht="46.5" outlineLevel="1" x14ac:dyDescent="0.25">
      <c r="A408" s="1160">
        <f t="shared" si="106"/>
        <v>1.3</v>
      </c>
      <c r="B408" s="1328" t="str">
        <f t="shared" si="106"/>
        <v>Supply,erection &amp; commissioningof Governor, Excitation System (DAVR) and Autosequencer for Manikdoh, Kanher &amp; Dimbhe HPS.</v>
      </c>
      <c r="C408" s="1160" t="str">
        <f t="shared" si="106"/>
        <v>(ii) Yet to be submitted to MERC</v>
      </c>
      <c r="D408" s="1010" t="str">
        <f t="shared" si="106"/>
        <v>-</v>
      </c>
      <c r="E408" s="1329">
        <f t="shared" si="106"/>
        <v>0</v>
      </c>
      <c r="F408" s="1334">
        <f t="shared" si="98"/>
        <v>14.35</v>
      </c>
      <c r="G408" s="1334">
        <f t="shared" si="99"/>
        <v>14.35</v>
      </c>
      <c r="H408" s="1334">
        <f t="shared" si="100"/>
        <v>0</v>
      </c>
      <c r="I408" s="1327">
        <v>0</v>
      </c>
      <c r="J408" s="1327">
        <v>0</v>
      </c>
      <c r="K408" s="1334"/>
      <c r="L408" s="1334"/>
      <c r="M408" s="1334">
        <f t="shared" si="107"/>
        <v>0</v>
      </c>
      <c r="N408" s="1334">
        <f t="shared" si="102"/>
        <v>0</v>
      </c>
      <c r="O408" s="1013"/>
      <c r="P408" s="1013"/>
    </row>
    <row r="409" spans="1:16" ht="31" outlineLevel="1" x14ac:dyDescent="0.25">
      <c r="A409" s="1160">
        <f t="shared" si="106"/>
        <v>1.4</v>
      </c>
      <c r="B409" s="1328" t="str">
        <f t="shared" si="106"/>
        <v>Supply, erection &amp; commissioning of Digital Governor Pawana &amp; Varasgaon HPS</v>
      </c>
      <c r="C409" s="1160" t="str">
        <f t="shared" si="106"/>
        <v>(ii) Yet to be submitted to MERC</v>
      </c>
      <c r="D409" s="1010" t="str">
        <f t="shared" si="106"/>
        <v>-</v>
      </c>
      <c r="E409" s="1329">
        <f t="shared" si="106"/>
        <v>0</v>
      </c>
      <c r="F409" s="1334">
        <f t="shared" si="98"/>
        <v>6.74</v>
      </c>
      <c r="G409" s="1334">
        <f t="shared" si="99"/>
        <v>6.74</v>
      </c>
      <c r="H409" s="1334">
        <f t="shared" si="100"/>
        <v>0</v>
      </c>
      <c r="I409" s="1327">
        <v>0</v>
      </c>
      <c r="J409" s="1327">
        <v>0</v>
      </c>
      <c r="K409" s="1334"/>
      <c r="L409" s="1334"/>
      <c r="M409" s="1334">
        <f t="shared" si="107"/>
        <v>0</v>
      </c>
      <c r="N409" s="1334">
        <f t="shared" si="102"/>
        <v>0</v>
      </c>
      <c r="O409" s="1013"/>
      <c r="P409" s="1013"/>
    </row>
    <row r="410" spans="1:16" ht="46.5" outlineLevel="1" x14ac:dyDescent="0.25">
      <c r="A410" s="1160">
        <f t="shared" si="106"/>
        <v>1.5</v>
      </c>
      <c r="B410" s="1328" t="str">
        <f t="shared" si="106"/>
        <v>Upgradation of Protection system for Generator and Generator transformer at bhatghar,Dudhganga,Ujani,Warana,Kanher &amp; Dhom</v>
      </c>
      <c r="C410" s="1160" t="str">
        <f t="shared" si="106"/>
        <v>(ii) Yet to be submitted to MERC</v>
      </c>
      <c r="D410" s="1010" t="str">
        <f t="shared" si="106"/>
        <v>-</v>
      </c>
      <c r="E410" s="1329">
        <f t="shared" si="106"/>
        <v>0</v>
      </c>
      <c r="F410" s="1334">
        <f t="shared" si="98"/>
        <v>7.22</v>
      </c>
      <c r="G410" s="1334">
        <f t="shared" si="99"/>
        <v>7.22</v>
      </c>
      <c r="H410" s="1334">
        <f t="shared" si="100"/>
        <v>0</v>
      </c>
      <c r="I410" s="1327">
        <v>0</v>
      </c>
      <c r="J410" s="1327">
        <v>0</v>
      </c>
      <c r="K410" s="1334"/>
      <c r="L410" s="1334"/>
      <c r="M410" s="1334">
        <f t="shared" si="107"/>
        <v>0</v>
      </c>
      <c r="N410" s="1334">
        <f t="shared" si="102"/>
        <v>0</v>
      </c>
      <c r="O410" s="1013"/>
      <c r="P410" s="1013"/>
    </row>
    <row r="411" spans="1:16" ht="15.5" outlineLevel="1" x14ac:dyDescent="0.25">
      <c r="A411" s="1160">
        <f t="shared" si="106"/>
        <v>0</v>
      </c>
      <c r="B411" s="1328" t="str">
        <f t="shared" si="106"/>
        <v>DPR-6</v>
      </c>
      <c r="C411" s="1160">
        <f t="shared" si="106"/>
        <v>0</v>
      </c>
      <c r="D411" s="1010" t="str">
        <f t="shared" si="106"/>
        <v>-</v>
      </c>
      <c r="E411" s="1329">
        <f t="shared" si="106"/>
        <v>0</v>
      </c>
      <c r="F411" s="1334">
        <f t="shared" si="98"/>
        <v>0</v>
      </c>
      <c r="G411" s="1334">
        <f t="shared" si="99"/>
        <v>0</v>
      </c>
      <c r="H411" s="1334">
        <f t="shared" si="100"/>
        <v>0</v>
      </c>
      <c r="I411" s="1327">
        <v>0</v>
      </c>
      <c r="J411" s="1327">
        <v>0</v>
      </c>
      <c r="K411" s="1334"/>
      <c r="L411" s="1334"/>
      <c r="M411" s="1334">
        <f t="shared" si="107"/>
        <v>0</v>
      </c>
      <c r="N411" s="1334">
        <f t="shared" si="102"/>
        <v>0</v>
      </c>
      <c r="O411" s="1013"/>
      <c r="P411" s="1013"/>
    </row>
    <row r="412" spans="1:16" ht="15.5" outlineLevel="1" x14ac:dyDescent="0.25">
      <c r="A412" s="1153">
        <f t="shared" si="106"/>
        <v>0</v>
      </c>
      <c r="B412" s="1154" t="str">
        <f t="shared" si="106"/>
        <v>Synchronising &amp; Line Breakers at HPS under REC, Pune</v>
      </c>
      <c r="C412" s="1160" t="str">
        <f t="shared" si="106"/>
        <v>(ii) Yet to be submitted to MERC</v>
      </c>
      <c r="D412" s="1325" t="str">
        <f t="shared" si="106"/>
        <v>-</v>
      </c>
      <c r="E412" s="1326">
        <f t="shared" si="106"/>
        <v>0</v>
      </c>
      <c r="F412" s="1335">
        <f t="shared" si="98"/>
        <v>5.0999999999999996</v>
      </c>
      <c r="G412" s="1335">
        <f t="shared" si="99"/>
        <v>5.0999999999999996</v>
      </c>
      <c r="H412" s="1335">
        <f t="shared" si="100"/>
        <v>0</v>
      </c>
      <c r="I412" s="1327">
        <v>0</v>
      </c>
      <c r="J412" s="1327">
        <v>0</v>
      </c>
      <c r="K412" s="1335"/>
      <c r="L412" s="1335"/>
      <c r="M412" s="1335">
        <f t="shared" si="107"/>
        <v>0</v>
      </c>
      <c r="N412" s="1335">
        <f t="shared" si="102"/>
        <v>0</v>
      </c>
      <c r="O412" s="1013"/>
      <c r="P412" s="1013"/>
    </row>
    <row r="413" spans="1:16" ht="31" outlineLevel="1" x14ac:dyDescent="0.25">
      <c r="A413" s="1160">
        <f t="shared" ref="A413:E428" si="108">A360</f>
        <v>0</v>
      </c>
      <c r="B413" s="1328" t="str">
        <f t="shared" si="108"/>
        <v>Digital Governor, Excitation (DAVR) with Auto sequencer at Ujjani HPS</v>
      </c>
      <c r="C413" s="1160" t="str">
        <f t="shared" si="108"/>
        <v>(ii) Yet to be submitted to MERC</v>
      </c>
      <c r="D413" s="1010" t="str">
        <f t="shared" si="108"/>
        <v>-</v>
      </c>
      <c r="E413" s="1329">
        <f t="shared" si="108"/>
        <v>0</v>
      </c>
      <c r="F413" s="1334">
        <f t="shared" si="98"/>
        <v>3.12</v>
      </c>
      <c r="G413" s="1334">
        <f t="shared" si="99"/>
        <v>3.12</v>
      </c>
      <c r="H413" s="1334">
        <f t="shared" si="100"/>
        <v>0</v>
      </c>
      <c r="I413" s="1327">
        <v>0</v>
      </c>
      <c r="J413" s="1327">
        <v>0</v>
      </c>
      <c r="K413" s="1334"/>
      <c r="L413" s="1334"/>
      <c r="M413" s="1334">
        <f t="shared" si="107"/>
        <v>0</v>
      </c>
      <c r="N413" s="1334">
        <f t="shared" si="102"/>
        <v>0</v>
      </c>
      <c r="O413" s="1013"/>
      <c r="P413" s="1013"/>
    </row>
    <row r="414" spans="1:16" ht="31" outlineLevel="1" x14ac:dyDescent="0.25">
      <c r="A414" s="1160">
        <f t="shared" si="108"/>
        <v>0</v>
      </c>
      <c r="B414" s="1328" t="str">
        <f t="shared" si="108"/>
        <v>Supply of station battery sets at Panshet, Varasgaon, Pawana, Dhom, Terwanmedhe</v>
      </c>
      <c r="C414" s="1160" t="str">
        <f t="shared" si="108"/>
        <v>(ii) Yet to be submitted to MERC</v>
      </c>
      <c r="D414" s="1010" t="str">
        <f t="shared" si="108"/>
        <v>-</v>
      </c>
      <c r="E414" s="1329">
        <f t="shared" si="108"/>
        <v>0</v>
      </c>
      <c r="F414" s="1334">
        <f t="shared" si="98"/>
        <v>1</v>
      </c>
      <c r="G414" s="1334">
        <f t="shared" si="99"/>
        <v>1</v>
      </c>
      <c r="H414" s="1334">
        <f t="shared" si="100"/>
        <v>0</v>
      </c>
      <c r="I414" s="1327">
        <v>0</v>
      </c>
      <c r="J414" s="1327">
        <v>0</v>
      </c>
      <c r="K414" s="1334"/>
      <c r="L414" s="1334"/>
      <c r="M414" s="1334">
        <f t="shared" si="107"/>
        <v>0</v>
      </c>
      <c r="N414" s="1334">
        <f t="shared" si="102"/>
        <v>0</v>
      </c>
    </row>
    <row r="415" spans="1:16" ht="31" outlineLevel="1" x14ac:dyDescent="0.25">
      <c r="A415" s="1160">
        <f t="shared" si="108"/>
        <v>0</v>
      </c>
      <c r="B415" s="1328" t="str">
        <f t="shared" si="108"/>
        <v>Digital Governor, Excitation (DAVR) with Auto sequencer at Dhom HPS</v>
      </c>
      <c r="C415" s="1160" t="str">
        <f t="shared" si="108"/>
        <v>(ii) Yet to be submitted to MERC</v>
      </c>
      <c r="D415" s="1010" t="str">
        <f t="shared" si="108"/>
        <v>-</v>
      </c>
      <c r="E415" s="1329">
        <f t="shared" si="108"/>
        <v>0</v>
      </c>
      <c r="F415" s="1334">
        <f t="shared" si="98"/>
        <v>6.22</v>
      </c>
      <c r="G415" s="1334">
        <f t="shared" si="99"/>
        <v>6.22</v>
      </c>
      <c r="H415" s="1334">
        <f t="shared" si="100"/>
        <v>0</v>
      </c>
      <c r="I415" s="1327">
        <v>0</v>
      </c>
      <c r="J415" s="1327">
        <v>0</v>
      </c>
      <c r="K415" s="1334"/>
      <c r="L415" s="1334"/>
      <c r="M415" s="1334">
        <f t="shared" si="107"/>
        <v>0</v>
      </c>
      <c r="N415" s="1334">
        <f t="shared" si="102"/>
        <v>0</v>
      </c>
    </row>
    <row r="416" spans="1:16" ht="15.5" outlineLevel="1" x14ac:dyDescent="0.25">
      <c r="A416" s="1160">
        <f t="shared" si="108"/>
        <v>0</v>
      </c>
      <c r="B416" s="1328" t="str">
        <f t="shared" si="108"/>
        <v>R &amp; M of Bhatghar HPS</v>
      </c>
      <c r="C416" s="1160" t="str">
        <f t="shared" si="108"/>
        <v>(ii) Yet to be submitted to MERC</v>
      </c>
      <c r="D416" s="1010" t="str">
        <f t="shared" si="108"/>
        <v>-</v>
      </c>
      <c r="E416" s="1329">
        <f t="shared" si="108"/>
        <v>0</v>
      </c>
      <c r="F416" s="1334">
        <f t="shared" si="98"/>
        <v>10</v>
      </c>
      <c r="G416" s="1334">
        <f t="shared" si="99"/>
        <v>10</v>
      </c>
      <c r="H416" s="1334">
        <f t="shared" si="100"/>
        <v>0</v>
      </c>
      <c r="I416" s="1327">
        <v>0</v>
      </c>
      <c r="J416" s="1327">
        <v>0</v>
      </c>
      <c r="K416" s="1334"/>
      <c r="L416" s="1334"/>
      <c r="M416" s="1334">
        <f t="shared" si="107"/>
        <v>0</v>
      </c>
      <c r="N416" s="1334">
        <f t="shared" si="102"/>
        <v>0</v>
      </c>
    </row>
    <row r="417" spans="1:14" ht="15.5" outlineLevel="1" x14ac:dyDescent="0.25">
      <c r="A417" s="1160">
        <f t="shared" si="108"/>
        <v>1.7</v>
      </c>
      <c r="B417" s="1328" t="str">
        <f t="shared" si="108"/>
        <v>DPR-8</v>
      </c>
      <c r="C417" s="1160">
        <f t="shared" si="108"/>
        <v>0</v>
      </c>
      <c r="D417" s="1010" t="str">
        <f t="shared" si="108"/>
        <v>-</v>
      </c>
      <c r="E417" s="1329">
        <f t="shared" si="108"/>
        <v>0</v>
      </c>
      <c r="F417" s="1334">
        <f t="shared" si="98"/>
        <v>0</v>
      </c>
      <c r="G417" s="1334">
        <f t="shared" si="99"/>
        <v>0</v>
      </c>
      <c r="H417" s="1334">
        <f t="shared" si="100"/>
        <v>0</v>
      </c>
      <c r="I417" s="1327">
        <v>0</v>
      </c>
      <c r="J417" s="1327">
        <v>0</v>
      </c>
      <c r="K417" s="1334"/>
      <c r="L417" s="1334"/>
      <c r="M417" s="1334">
        <f t="shared" si="107"/>
        <v>0</v>
      </c>
      <c r="N417" s="1334">
        <f t="shared" si="102"/>
        <v>0</v>
      </c>
    </row>
    <row r="418" spans="1:14" ht="31" outlineLevel="1" x14ac:dyDescent="0.25">
      <c r="A418" s="1160">
        <f t="shared" si="108"/>
        <v>0</v>
      </c>
      <c r="B418" s="1328" t="str">
        <f t="shared" si="108"/>
        <v>Gen. transformers for Dudhganga, Warana, Ujjani, Panshet, Varasgaon &amp; Pawana HPS</v>
      </c>
      <c r="C418" s="1160" t="str">
        <f t="shared" si="108"/>
        <v>(ii) Yet to be submitted to MERC</v>
      </c>
      <c r="D418" s="1010" t="str">
        <f t="shared" si="108"/>
        <v>-</v>
      </c>
      <c r="E418" s="1329">
        <f t="shared" si="108"/>
        <v>0</v>
      </c>
      <c r="F418" s="1334">
        <f t="shared" si="98"/>
        <v>0</v>
      </c>
      <c r="G418" s="1334">
        <f t="shared" si="99"/>
        <v>0</v>
      </c>
      <c r="H418" s="1334">
        <f t="shared" si="100"/>
        <v>0</v>
      </c>
      <c r="I418" s="1327">
        <v>35</v>
      </c>
      <c r="J418" s="1327">
        <v>35</v>
      </c>
      <c r="K418" s="1334"/>
      <c r="L418" s="1334"/>
      <c r="M418" s="1334">
        <f t="shared" si="107"/>
        <v>35</v>
      </c>
      <c r="N418" s="1334">
        <f t="shared" si="102"/>
        <v>0</v>
      </c>
    </row>
    <row r="419" spans="1:14" ht="15.5" outlineLevel="1" x14ac:dyDescent="0.25">
      <c r="A419" s="1160">
        <f t="shared" si="108"/>
        <v>0</v>
      </c>
      <c r="B419" s="1328">
        <f t="shared" si="108"/>
        <v>0</v>
      </c>
      <c r="C419" s="1160">
        <f t="shared" si="108"/>
        <v>0</v>
      </c>
      <c r="D419" s="1010" t="str">
        <f t="shared" si="108"/>
        <v>-</v>
      </c>
      <c r="E419" s="1329">
        <f t="shared" si="108"/>
        <v>0</v>
      </c>
      <c r="F419" s="1334">
        <f t="shared" si="98"/>
        <v>0</v>
      </c>
      <c r="G419" s="1334">
        <f t="shared" si="99"/>
        <v>0</v>
      </c>
      <c r="H419" s="1334">
        <f t="shared" si="100"/>
        <v>0</v>
      </c>
      <c r="I419" s="1327">
        <v>0</v>
      </c>
      <c r="J419" s="1327">
        <v>0</v>
      </c>
      <c r="K419" s="1334"/>
      <c r="L419" s="1334"/>
      <c r="M419" s="1334">
        <f t="shared" si="107"/>
        <v>0</v>
      </c>
      <c r="N419" s="1334">
        <f t="shared" si="102"/>
        <v>0</v>
      </c>
    </row>
    <row r="420" spans="1:14" ht="15.5" outlineLevel="1" x14ac:dyDescent="0.25">
      <c r="A420" s="1011">
        <f t="shared" si="108"/>
        <v>0</v>
      </c>
      <c r="B420" s="1012" t="str">
        <f t="shared" si="108"/>
        <v>B) Non-DPR Schemes</v>
      </c>
      <c r="C420" s="1011">
        <f t="shared" si="108"/>
        <v>0</v>
      </c>
      <c r="D420" s="1010" t="str">
        <f t="shared" si="108"/>
        <v>-</v>
      </c>
      <c r="E420" s="1330">
        <f t="shared" si="108"/>
        <v>0</v>
      </c>
      <c r="F420" s="1259">
        <f t="shared" si="98"/>
        <v>0</v>
      </c>
      <c r="G420" s="1259">
        <f t="shared" si="99"/>
        <v>0</v>
      </c>
      <c r="H420" s="1259">
        <f t="shared" si="100"/>
        <v>0</v>
      </c>
      <c r="I420" s="1327">
        <v>0</v>
      </c>
      <c r="J420" s="1327">
        <v>0</v>
      </c>
      <c r="K420" s="1259"/>
      <c r="L420" s="1259"/>
      <c r="M420" s="1259">
        <f t="shared" si="107"/>
        <v>0</v>
      </c>
      <c r="N420" s="1259">
        <f t="shared" si="102"/>
        <v>0</v>
      </c>
    </row>
    <row r="421" spans="1:14" ht="31" outlineLevel="1" x14ac:dyDescent="0.25">
      <c r="A421" s="1160">
        <f t="shared" si="108"/>
        <v>1</v>
      </c>
      <c r="B421" s="1328" t="str">
        <f t="shared" si="108"/>
        <v>Replacement of 220V/300 AH Tubular type Battery Set at Manikdoh HPS</v>
      </c>
      <c r="C421" s="1160" t="str">
        <f t="shared" si="108"/>
        <v>N.A.</v>
      </c>
      <c r="D421" s="1010" t="str">
        <f t="shared" si="108"/>
        <v>-</v>
      </c>
      <c r="E421" s="1329">
        <f t="shared" si="108"/>
        <v>0</v>
      </c>
      <c r="F421" s="1334">
        <f t="shared" si="98"/>
        <v>0.1138</v>
      </c>
      <c r="G421" s="1334">
        <f t="shared" si="99"/>
        <v>0.1138</v>
      </c>
      <c r="H421" s="1334">
        <f t="shared" si="100"/>
        <v>0</v>
      </c>
      <c r="I421" s="1327">
        <v>0</v>
      </c>
      <c r="J421" s="1327">
        <v>0</v>
      </c>
      <c r="K421" s="1334"/>
      <c r="L421" s="1334"/>
      <c r="M421" s="1334">
        <f t="shared" si="107"/>
        <v>0</v>
      </c>
      <c r="N421" s="1334">
        <f t="shared" si="102"/>
        <v>0</v>
      </c>
    </row>
    <row r="422" spans="1:14" ht="31" outlineLevel="1" x14ac:dyDescent="0.25">
      <c r="A422" s="1160">
        <f t="shared" si="108"/>
        <v>2</v>
      </c>
      <c r="B422" s="1328" t="str">
        <f t="shared" si="108"/>
        <v>Replacement of existing AVR by DAVR for Static Excitation System at Pawana HPS.</v>
      </c>
      <c r="C422" s="1160" t="str">
        <f t="shared" si="108"/>
        <v>N.A.</v>
      </c>
      <c r="D422" s="1010" t="str">
        <f t="shared" si="108"/>
        <v>-</v>
      </c>
      <c r="E422" s="1329">
        <f t="shared" si="108"/>
        <v>0</v>
      </c>
      <c r="F422" s="1334">
        <f t="shared" si="98"/>
        <v>1.01</v>
      </c>
      <c r="G422" s="1334">
        <f t="shared" si="99"/>
        <v>1.01</v>
      </c>
      <c r="H422" s="1334">
        <f t="shared" si="100"/>
        <v>0</v>
      </c>
      <c r="I422" s="1327">
        <v>0</v>
      </c>
      <c r="J422" s="1327">
        <v>0</v>
      </c>
      <c r="K422" s="1334"/>
      <c r="L422" s="1334"/>
      <c r="M422" s="1334">
        <f t="shared" si="107"/>
        <v>0</v>
      </c>
      <c r="N422" s="1334">
        <f t="shared" si="102"/>
        <v>0</v>
      </c>
    </row>
    <row r="423" spans="1:14" ht="15.5" outlineLevel="1" x14ac:dyDescent="0.25">
      <c r="A423" s="1160">
        <f t="shared" si="108"/>
        <v>3</v>
      </c>
      <c r="B423" s="1328" t="str">
        <f t="shared" si="108"/>
        <v>Retrofitting of 415 V LT Breakers at Kanher &amp; Dhom HPS.</v>
      </c>
      <c r="C423" s="1160" t="str">
        <f t="shared" si="108"/>
        <v>N.A.</v>
      </c>
      <c r="D423" s="1010" t="str">
        <f t="shared" si="108"/>
        <v>-</v>
      </c>
      <c r="E423" s="1329">
        <f t="shared" si="108"/>
        <v>0</v>
      </c>
      <c r="F423" s="1334">
        <f t="shared" si="98"/>
        <v>9.8743800000000007E-2</v>
      </c>
      <c r="G423" s="1334">
        <f t="shared" si="99"/>
        <v>9.8743800000000007E-2</v>
      </c>
      <c r="H423" s="1334">
        <f t="shared" si="100"/>
        <v>0</v>
      </c>
      <c r="I423" s="1327">
        <v>0</v>
      </c>
      <c r="J423" s="1327">
        <v>0</v>
      </c>
      <c r="K423" s="1334"/>
      <c r="L423" s="1334"/>
      <c r="M423" s="1334">
        <f t="shared" si="107"/>
        <v>0</v>
      </c>
      <c r="N423" s="1334">
        <f t="shared" si="102"/>
        <v>0</v>
      </c>
    </row>
    <row r="424" spans="1:14" ht="15.5" outlineLevel="1" x14ac:dyDescent="0.25">
      <c r="A424" s="1160">
        <f t="shared" si="108"/>
        <v>4</v>
      </c>
      <c r="B424" s="1328" t="str">
        <f t="shared" si="108"/>
        <v>Furniture &amp; Fixture General Asset</v>
      </c>
      <c r="C424" s="1160" t="str">
        <f t="shared" si="108"/>
        <v>N.A.</v>
      </c>
      <c r="D424" s="1010" t="str">
        <f t="shared" si="108"/>
        <v>-</v>
      </c>
      <c r="E424" s="1329">
        <f t="shared" si="108"/>
        <v>0</v>
      </c>
      <c r="F424" s="1334">
        <f t="shared" si="98"/>
        <v>1.0676536210000001</v>
      </c>
      <c r="G424" s="1334">
        <f t="shared" si="99"/>
        <v>1.0676536210000001</v>
      </c>
      <c r="H424" s="1334">
        <f t="shared" si="100"/>
        <v>0</v>
      </c>
      <c r="I424" s="1327">
        <v>0</v>
      </c>
      <c r="J424" s="1327">
        <v>0</v>
      </c>
      <c r="K424" s="1334"/>
      <c r="L424" s="1334"/>
      <c r="M424" s="1334">
        <f t="shared" si="107"/>
        <v>0</v>
      </c>
      <c r="N424" s="1334">
        <f t="shared" si="102"/>
        <v>0</v>
      </c>
    </row>
    <row r="425" spans="1:14" ht="15.5" outlineLevel="1" x14ac:dyDescent="0.25">
      <c r="A425" s="1160">
        <f t="shared" si="108"/>
        <v>5</v>
      </c>
      <c r="B425" s="1328" t="str">
        <f t="shared" si="108"/>
        <v>Electrical General Asset</v>
      </c>
      <c r="C425" s="1160" t="str">
        <f t="shared" si="108"/>
        <v>N.A.</v>
      </c>
      <c r="D425" s="1010" t="str">
        <f t="shared" si="108"/>
        <v>-</v>
      </c>
      <c r="E425" s="1329">
        <f t="shared" si="108"/>
        <v>0</v>
      </c>
      <c r="F425" s="1334">
        <f t="shared" si="98"/>
        <v>0.19467927899999998</v>
      </c>
      <c r="G425" s="1334">
        <f t="shared" si="99"/>
        <v>0.19467927899999998</v>
      </c>
      <c r="H425" s="1334">
        <f t="shared" si="100"/>
        <v>0</v>
      </c>
      <c r="I425" s="1327">
        <v>0</v>
      </c>
      <c r="J425" s="1327">
        <v>0</v>
      </c>
      <c r="K425" s="1334"/>
      <c r="L425" s="1334"/>
      <c r="M425" s="1334">
        <f t="shared" si="107"/>
        <v>0</v>
      </c>
      <c r="N425" s="1334">
        <f t="shared" si="102"/>
        <v>0</v>
      </c>
    </row>
    <row r="426" spans="1:14" ht="15.5" outlineLevel="1" x14ac:dyDescent="0.25">
      <c r="A426" s="1160">
        <f t="shared" si="108"/>
        <v>6</v>
      </c>
      <c r="B426" s="1328" t="str">
        <f t="shared" si="108"/>
        <v>Electronics General Asset</v>
      </c>
      <c r="C426" s="1160" t="str">
        <f t="shared" si="108"/>
        <v>N.A.</v>
      </c>
      <c r="D426" s="1010" t="str">
        <f t="shared" si="108"/>
        <v>-</v>
      </c>
      <c r="E426" s="1329">
        <f t="shared" si="108"/>
        <v>0</v>
      </c>
      <c r="F426" s="1334">
        <f t="shared" si="98"/>
        <v>0.27661271500000001</v>
      </c>
      <c r="G426" s="1334">
        <f t="shared" si="99"/>
        <v>0.27661271500000001</v>
      </c>
      <c r="H426" s="1334">
        <f t="shared" si="100"/>
        <v>0</v>
      </c>
      <c r="I426" s="1327">
        <v>0</v>
      </c>
      <c r="J426" s="1327">
        <v>0</v>
      </c>
      <c r="K426" s="1334"/>
      <c r="L426" s="1334"/>
      <c r="M426" s="1334">
        <f t="shared" si="107"/>
        <v>0</v>
      </c>
      <c r="N426" s="1334">
        <f t="shared" si="102"/>
        <v>0</v>
      </c>
    </row>
    <row r="427" spans="1:14" ht="15.5" outlineLevel="1" x14ac:dyDescent="0.25">
      <c r="A427" s="1160">
        <f t="shared" si="108"/>
        <v>7</v>
      </c>
      <c r="B427" s="1328" t="str">
        <f t="shared" si="108"/>
        <v>Vehicle General Asset</v>
      </c>
      <c r="C427" s="1160" t="str">
        <f t="shared" si="108"/>
        <v>N.A.</v>
      </c>
      <c r="D427" s="1010" t="str">
        <f t="shared" si="108"/>
        <v>-</v>
      </c>
      <c r="E427" s="1329">
        <f t="shared" si="108"/>
        <v>0</v>
      </c>
      <c r="F427" s="1334">
        <f t="shared" si="98"/>
        <v>0.17288522700000003</v>
      </c>
      <c r="G427" s="1334">
        <f t="shared" si="99"/>
        <v>0.17288522700000003</v>
      </c>
      <c r="H427" s="1334">
        <f t="shared" si="100"/>
        <v>0</v>
      </c>
      <c r="I427" s="1327">
        <v>0</v>
      </c>
      <c r="J427" s="1327">
        <v>0</v>
      </c>
      <c r="K427" s="1334"/>
      <c r="L427" s="1334"/>
      <c r="M427" s="1334">
        <f t="shared" si="107"/>
        <v>0</v>
      </c>
      <c r="N427" s="1334">
        <f t="shared" si="102"/>
        <v>0</v>
      </c>
    </row>
    <row r="428" spans="1:14" ht="31.5" outlineLevel="1" thickBot="1" x14ac:dyDescent="0.3">
      <c r="A428" s="1160">
        <f t="shared" si="108"/>
        <v>8</v>
      </c>
      <c r="B428" s="1328" t="str">
        <f t="shared" si="108"/>
        <v>Numerical protection system at Pawana Hydro Power Station</v>
      </c>
      <c r="C428" s="1160" t="str">
        <f t="shared" si="108"/>
        <v>N.A.</v>
      </c>
      <c r="D428" s="1010" t="str">
        <f t="shared" si="108"/>
        <v>-</v>
      </c>
      <c r="E428" s="1329">
        <f t="shared" si="108"/>
        <v>0</v>
      </c>
      <c r="F428" s="1334">
        <f t="shared" si="98"/>
        <v>0.33023999999999998</v>
      </c>
      <c r="G428" s="1334">
        <f t="shared" si="99"/>
        <v>0.33023999999999998</v>
      </c>
      <c r="H428" s="1334">
        <f t="shared" si="100"/>
        <v>0</v>
      </c>
      <c r="I428" s="1327">
        <v>0</v>
      </c>
      <c r="J428" s="1327">
        <v>0</v>
      </c>
      <c r="K428" s="1334"/>
      <c r="L428" s="1334"/>
      <c r="M428" s="1334">
        <f t="shared" si="107"/>
        <v>0</v>
      </c>
      <c r="N428" s="1334">
        <f t="shared" si="102"/>
        <v>0</v>
      </c>
    </row>
    <row r="429" spans="1:14" ht="16" thickBot="1" x14ac:dyDescent="0.3">
      <c r="A429" s="1009"/>
      <c r="B429" s="1008"/>
      <c r="C429" s="1007"/>
      <c r="D429" s="1006"/>
      <c r="E429" s="1331"/>
      <c r="F429" s="1332">
        <f>SUM(F381:F428)</f>
        <v>112.99050566099999</v>
      </c>
      <c r="G429" s="1332">
        <f>SUM(G381:G428)</f>
        <v>100.92095094099999</v>
      </c>
      <c r="H429" s="1332">
        <f>SUM(H381:H428)</f>
        <v>12.069554720000001</v>
      </c>
      <c r="I429" s="1332">
        <f>SUM(I381:I428)</f>
        <v>35</v>
      </c>
      <c r="J429" s="1332">
        <f>SUM(J381:J428)</f>
        <v>35</v>
      </c>
      <c r="K429" s="1332">
        <f t="shared" ref="K429:N429" si="109">SUM(K381:K428)</f>
        <v>0</v>
      </c>
      <c r="L429" s="1332">
        <f t="shared" si="109"/>
        <v>0</v>
      </c>
      <c r="M429" s="1332">
        <f t="shared" si="109"/>
        <v>35</v>
      </c>
      <c r="N429" s="1332">
        <f t="shared" si="109"/>
        <v>12.069554720000001</v>
      </c>
    </row>
  </sheetData>
  <mergeCells count="11">
    <mergeCell ref="G4:G6"/>
    <mergeCell ref="H4:H6"/>
    <mergeCell ref="I4:I6"/>
    <mergeCell ref="J4:M5"/>
    <mergeCell ref="N4:N6"/>
    <mergeCell ref="F4:F6"/>
    <mergeCell ref="A4:A6"/>
    <mergeCell ref="B4:B6"/>
    <mergeCell ref="C4:C6"/>
    <mergeCell ref="D4:D6"/>
    <mergeCell ref="E4:E6"/>
  </mergeCells>
  <conditionalFormatting sqref="C11:C13 C20:C23 C25:C30 C64:C66 C73:C76 C78:C83 C88:C101">
    <cfRule type="containsText" dxfId="353" priority="121" operator="containsText" text="DPR not submitted">
      <formula>NOT(ISERROR(SEARCH("DPR not submitted",C11)))</formula>
    </cfRule>
    <cfRule type="containsText" dxfId="352" priority="122" operator="containsText" text="Yet to be approved">
      <formula>NOT(ISERROR(SEARCH("Yet to be approved",C11)))</formula>
    </cfRule>
  </conditionalFormatting>
  <conditionalFormatting sqref="C15:C18">
    <cfRule type="containsText" dxfId="351" priority="123" operator="containsText" text="DPR not submitted">
      <formula>NOT(ISERROR(SEARCH("DPR not submitted",C15)))</formula>
    </cfRule>
    <cfRule type="containsText" dxfId="350" priority="124" operator="containsText" text="Yet to be approved">
      <formula>NOT(ISERROR(SEARCH("Yet to be approved",C15)))</formula>
    </cfRule>
  </conditionalFormatting>
  <conditionalFormatting sqref="C50:C57">
    <cfRule type="containsText" dxfId="349" priority="119" operator="containsText" text="DPR not submitted">
      <formula>NOT(ISERROR(SEARCH("DPR not submitted",C50)))</formula>
    </cfRule>
    <cfRule type="containsText" dxfId="348" priority="120" operator="containsText" text="Yet to be approved">
      <formula>NOT(ISERROR(SEARCH("Yet to be approved",C50)))</formula>
    </cfRule>
  </conditionalFormatting>
  <conditionalFormatting sqref="C87">
    <cfRule type="containsText" dxfId="347" priority="117" operator="containsText" text="DPR not submitted">
      <formula>NOT(ISERROR(SEARCH("DPR not submitted",C87)))</formula>
    </cfRule>
    <cfRule type="containsText" dxfId="346" priority="118" operator="containsText" text="Yet to be approved">
      <formula>NOT(ISERROR(SEARCH("Yet to be approved",C87)))</formula>
    </cfRule>
  </conditionalFormatting>
  <conditionalFormatting sqref="C68:C71">
    <cfRule type="containsText" dxfId="345" priority="115" operator="containsText" text="DPR not submitted">
      <formula>NOT(ISERROR(SEARCH("DPR not submitted",C68)))</formula>
    </cfRule>
    <cfRule type="containsText" dxfId="344" priority="116" operator="containsText" text="Yet to be approved">
      <formula>NOT(ISERROR(SEARCH("Yet to be approved",C68)))</formula>
    </cfRule>
  </conditionalFormatting>
  <conditionalFormatting sqref="C103:C110">
    <cfRule type="containsText" dxfId="343" priority="113" operator="containsText" text="DPR not submitted">
      <formula>NOT(ISERROR(SEARCH("DPR not submitted",C103)))</formula>
    </cfRule>
    <cfRule type="containsText" dxfId="342" priority="114" operator="containsText" text="Yet to be approved">
      <formula>NOT(ISERROR(SEARCH("Yet to be approved",C103)))</formula>
    </cfRule>
  </conditionalFormatting>
  <conditionalFormatting sqref="C10">
    <cfRule type="containsText" dxfId="341" priority="111" operator="containsText" text="DPR not submitted">
      <formula>NOT(ISERROR(SEARCH("DPR not submitted",C10)))</formula>
    </cfRule>
    <cfRule type="containsText" dxfId="340" priority="112" operator="containsText" text="Yet to be approved">
      <formula>NOT(ISERROR(SEARCH("Yet to be approved",C10)))</formula>
    </cfRule>
  </conditionalFormatting>
  <conditionalFormatting sqref="C14">
    <cfRule type="containsText" dxfId="339" priority="109" operator="containsText" text="DPR not submitted">
      <formula>NOT(ISERROR(SEARCH("DPR not submitted",C14)))</formula>
    </cfRule>
    <cfRule type="containsText" dxfId="338" priority="110" operator="containsText" text="Yet to be approved">
      <formula>NOT(ISERROR(SEARCH("Yet to be approved",C14)))</formula>
    </cfRule>
  </conditionalFormatting>
  <conditionalFormatting sqref="C19">
    <cfRule type="containsText" dxfId="337" priority="107" operator="containsText" text="DPR not submitted">
      <formula>NOT(ISERROR(SEARCH("DPR not submitted",C19)))</formula>
    </cfRule>
    <cfRule type="containsText" dxfId="336" priority="108" operator="containsText" text="Yet to be approved">
      <formula>NOT(ISERROR(SEARCH("Yet to be approved",C19)))</formula>
    </cfRule>
  </conditionalFormatting>
  <conditionalFormatting sqref="C63">
    <cfRule type="containsText" dxfId="335" priority="103" operator="containsText" text="DPR not submitted">
      <formula>NOT(ISERROR(SEARCH("DPR not submitted",C63)))</formula>
    </cfRule>
    <cfRule type="containsText" dxfId="334" priority="104" operator="containsText" text="Yet to be approved">
      <formula>NOT(ISERROR(SEARCH("Yet to be approved",C63)))</formula>
    </cfRule>
  </conditionalFormatting>
  <conditionalFormatting sqref="C67">
    <cfRule type="containsText" dxfId="333" priority="101" operator="containsText" text="DPR not submitted">
      <formula>NOT(ISERROR(SEARCH("DPR not submitted",C67)))</formula>
    </cfRule>
    <cfRule type="containsText" dxfId="332" priority="102" operator="containsText" text="Yet to be approved">
      <formula>NOT(ISERROR(SEARCH("Yet to be approved",C67)))</formula>
    </cfRule>
  </conditionalFormatting>
  <conditionalFormatting sqref="C24">
    <cfRule type="containsText" dxfId="331" priority="105" operator="containsText" text="DPR not submitted">
      <formula>NOT(ISERROR(SEARCH("DPR not submitted",C24)))</formula>
    </cfRule>
    <cfRule type="containsText" dxfId="330" priority="106" operator="containsText" text="Yet to be approved">
      <formula>NOT(ISERROR(SEARCH("Yet to be approved",C24)))</formula>
    </cfRule>
  </conditionalFormatting>
  <conditionalFormatting sqref="C72">
    <cfRule type="containsText" dxfId="329" priority="99" operator="containsText" text="DPR not submitted">
      <formula>NOT(ISERROR(SEARCH("DPR not submitted",C72)))</formula>
    </cfRule>
    <cfRule type="containsText" dxfId="328" priority="100" operator="containsText" text="Yet to be approved">
      <formula>NOT(ISERROR(SEARCH("Yet to be approved",C72)))</formula>
    </cfRule>
  </conditionalFormatting>
  <conditionalFormatting sqref="C77">
    <cfRule type="containsText" dxfId="327" priority="97" operator="containsText" text="DPR not submitted">
      <formula>NOT(ISERROR(SEARCH("DPR not submitted",C77)))</formula>
    </cfRule>
    <cfRule type="containsText" dxfId="326" priority="98" operator="containsText" text="Yet to be approved">
      <formula>NOT(ISERROR(SEARCH("Yet to be approved",C77)))</formula>
    </cfRule>
  </conditionalFormatting>
  <conditionalFormatting sqref="C117:C119 C126:C129 C131:C136 C141:C154">
    <cfRule type="containsText" dxfId="325" priority="95" operator="containsText" text="DPR not submitted">
      <formula>NOT(ISERROR(SEARCH("DPR not submitted",C117)))</formula>
    </cfRule>
    <cfRule type="containsText" dxfId="324" priority="96" operator="containsText" text="Yet to be approved">
      <formula>NOT(ISERROR(SEARCH("Yet to be approved",C117)))</formula>
    </cfRule>
  </conditionalFormatting>
  <conditionalFormatting sqref="C140">
    <cfRule type="containsText" dxfId="323" priority="93" operator="containsText" text="DPR not submitted">
      <formula>NOT(ISERROR(SEARCH("DPR not submitted",C140)))</formula>
    </cfRule>
    <cfRule type="containsText" dxfId="322" priority="94" operator="containsText" text="Yet to be approved">
      <formula>NOT(ISERROR(SEARCH("Yet to be approved",C140)))</formula>
    </cfRule>
  </conditionalFormatting>
  <conditionalFormatting sqref="C121:C124">
    <cfRule type="containsText" dxfId="321" priority="91" operator="containsText" text="DPR not submitted">
      <formula>NOT(ISERROR(SEARCH("DPR not submitted",C121)))</formula>
    </cfRule>
    <cfRule type="containsText" dxfId="320" priority="92" operator="containsText" text="Yet to be approved">
      <formula>NOT(ISERROR(SEARCH("Yet to be approved",C121)))</formula>
    </cfRule>
  </conditionalFormatting>
  <conditionalFormatting sqref="C156:C163">
    <cfRule type="containsText" dxfId="319" priority="89" operator="containsText" text="DPR not submitted">
      <formula>NOT(ISERROR(SEARCH("DPR not submitted",C156)))</formula>
    </cfRule>
    <cfRule type="containsText" dxfId="318" priority="90" operator="containsText" text="Yet to be approved">
      <formula>NOT(ISERROR(SEARCH("Yet to be approved",C156)))</formula>
    </cfRule>
  </conditionalFormatting>
  <conditionalFormatting sqref="C116">
    <cfRule type="containsText" dxfId="317" priority="87" operator="containsText" text="DPR not submitted">
      <formula>NOT(ISERROR(SEARCH("DPR not submitted",C116)))</formula>
    </cfRule>
    <cfRule type="containsText" dxfId="316" priority="88" operator="containsText" text="Yet to be approved">
      <formula>NOT(ISERROR(SEARCH("Yet to be approved",C116)))</formula>
    </cfRule>
  </conditionalFormatting>
  <conditionalFormatting sqref="C120">
    <cfRule type="containsText" dxfId="315" priority="85" operator="containsText" text="DPR not submitted">
      <formula>NOT(ISERROR(SEARCH("DPR not submitted",C120)))</formula>
    </cfRule>
    <cfRule type="containsText" dxfId="314" priority="86" operator="containsText" text="Yet to be approved">
      <formula>NOT(ISERROR(SEARCH("Yet to be approved",C120)))</formula>
    </cfRule>
  </conditionalFormatting>
  <conditionalFormatting sqref="C125">
    <cfRule type="containsText" dxfId="313" priority="83" operator="containsText" text="DPR not submitted">
      <formula>NOT(ISERROR(SEARCH("DPR not submitted",C125)))</formula>
    </cfRule>
    <cfRule type="containsText" dxfId="312" priority="84" operator="containsText" text="Yet to be approved">
      <formula>NOT(ISERROR(SEARCH("Yet to be approved",C125)))</formula>
    </cfRule>
  </conditionalFormatting>
  <conditionalFormatting sqref="C130">
    <cfRule type="containsText" dxfId="311" priority="81" operator="containsText" text="DPR not submitted">
      <formula>NOT(ISERROR(SEARCH("DPR not submitted",C130)))</formula>
    </cfRule>
    <cfRule type="containsText" dxfId="310" priority="82" operator="containsText" text="Yet to be approved">
      <formula>NOT(ISERROR(SEARCH("Yet to be approved",C130)))</formula>
    </cfRule>
  </conditionalFormatting>
  <conditionalFormatting sqref="C170:C172 C179:C182 C184:C189 C194:C207">
    <cfRule type="containsText" dxfId="309" priority="79" operator="containsText" text="DPR not submitted">
      <formula>NOT(ISERROR(SEARCH("DPR not submitted",C170)))</formula>
    </cfRule>
    <cfRule type="containsText" dxfId="308" priority="80" operator="containsText" text="Yet to be approved">
      <formula>NOT(ISERROR(SEARCH("Yet to be approved",C170)))</formula>
    </cfRule>
  </conditionalFormatting>
  <conditionalFormatting sqref="C193">
    <cfRule type="containsText" dxfId="307" priority="77" operator="containsText" text="DPR not submitted">
      <formula>NOT(ISERROR(SEARCH("DPR not submitted",C193)))</formula>
    </cfRule>
    <cfRule type="containsText" dxfId="306" priority="78" operator="containsText" text="Yet to be approved">
      <formula>NOT(ISERROR(SEARCH("Yet to be approved",C193)))</formula>
    </cfRule>
  </conditionalFormatting>
  <conditionalFormatting sqref="C174:C177">
    <cfRule type="containsText" dxfId="305" priority="75" operator="containsText" text="DPR not submitted">
      <formula>NOT(ISERROR(SEARCH("DPR not submitted",C174)))</formula>
    </cfRule>
    <cfRule type="containsText" dxfId="304" priority="76" operator="containsText" text="Yet to be approved">
      <formula>NOT(ISERROR(SEARCH("Yet to be approved",C174)))</formula>
    </cfRule>
  </conditionalFormatting>
  <conditionalFormatting sqref="C209:C216">
    <cfRule type="containsText" dxfId="303" priority="73" operator="containsText" text="DPR not submitted">
      <formula>NOT(ISERROR(SEARCH("DPR not submitted",C209)))</formula>
    </cfRule>
    <cfRule type="containsText" dxfId="302" priority="74" operator="containsText" text="Yet to be approved">
      <formula>NOT(ISERROR(SEARCH("Yet to be approved",C209)))</formula>
    </cfRule>
  </conditionalFormatting>
  <conditionalFormatting sqref="C169">
    <cfRule type="containsText" dxfId="301" priority="71" operator="containsText" text="DPR not submitted">
      <formula>NOT(ISERROR(SEARCH("DPR not submitted",C169)))</formula>
    </cfRule>
    <cfRule type="containsText" dxfId="300" priority="72" operator="containsText" text="Yet to be approved">
      <formula>NOT(ISERROR(SEARCH("Yet to be approved",C169)))</formula>
    </cfRule>
  </conditionalFormatting>
  <conditionalFormatting sqref="C173">
    <cfRule type="containsText" dxfId="299" priority="69" operator="containsText" text="DPR not submitted">
      <formula>NOT(ISERROR(SEARCH("DPR not submitted",C173)))</formula>
    </cfRule>
    <cfRule type="containsText" dxfId="298" priority="70" operator="containsText" text="Yet to be approved">
      <formula>NOT(ISERROR(SEARCH("Yet to be approved",C173)))</formula>
    </cfRule>
  </conditionalFormatting>
  <conditionalFormatting sqref="C178">
    <cfRule type="containsText" dxfId="297" priority="67" operator="containsText" text="DPR not submitted">
      <formula>NOT(ISERROR(SEARCH("DPR not submitted",C178)))</formula>
    </cfRule>
    <cfRule type="containsText" dxfId="296" priority="68" operator="containsText" text="Yet to be approved">
      <formula>NOT(ISERROR(SEARCH("Yet to be approved",C178)))</formula>
    </cfRule>
  </conditionalFormatting>
  <conditionalFormatting sqref="C183">
    <cfRule type="containsText" dxfId="295" priority="65" operator="containsText" text="DPR not submitted">
      <formula>NOT(ISERROR(SEARCH("DPR not submitted",C183)))</formula>
    </cfRule>
    <cfRule type="containsText" dxfId="294" priority="66" operator="containsText" text="Yet to be approved">
      <formula>NOT(ISERROR(SEARCH("Yet to be approved",C183)))</formula>
    </cfRule>
  </conditionalFormatting>
  <conditionalFormatting sqref="C223:C225 C232:C235 C237:C242 C247:C260">
    <cfRule type="containsText" dxfId="293" priority="63" operator="containsText" text="DPR not submitted">
      <formula>NOT(ISERROR(SEARCH("DPR not submitted",C223)))</formula>
    </cfRule>
    <cfRule type="containsText" dxfId="292" priority="64" operator="containsText" text="Yet to be approved">
      <formula>NOT(ISERROR(SEARCH("Yet to be approved",C223)))</formula>
    </cfRule>
  </conditionalFormatting>
  <conditionalFormatting sqref="C246">
    <cfRule type="containsText" dxfId="291" priority="61" operator="containsText" text="DPR not submitted">
      <formula>NOT(ISERROR(SEARCH("DPR not submitted",C246)))</formula>
    </cfRule>
    <cfRule type="containsText" dxfId="290" priority="62" operator="containsText" text="Yet to be approved">
      <formula>NOT(ISERROR(SEARCH("Yet to be approved",C246)))</formula>
    </cfRule>
  </conditionalFormatting>
  <conditionalFormatting sqref="C227:C230">
    <cfRule type="containsText" dxfId="289" priority="59" operator="containsText" text="DPR not submitted">
      <formula>NOT(ISERROR(SEARCH("DPR not submitted",C227)))</formula>
    </cfRule>
    <cfRule type="containsText" dxfId="288" priority="60" operator="containsText" text="Yet to be approved">
      <formula>NOT(ISERROR(SEARCH("Yet to be approved",C227)))</formula>
    </cfRule>
  </conditionalFormatting>
  <conditionalFormatting sqref="C262:C269">
    <cfRule type="containsText" dxfId="287" priority="57" operator="containsText" text="DPR not submitted">
      <formula>NOT(ISERROR(SEARCH("DPR not submitted",C262)))</formula>
    </cfRule>
    <cfRule type="containsText" dxfId="286" priority="58" operator="containsText" text="Yet to be approved">
      <formula>NOT(ISERROR(SEARCH("Yet to be approved",C262)))</formula>
    </cfRule>
  </conditionalFormatting>
  <conditionalFormatting sqref="C222">
    <cfRule type="containsText" dxfId="285" priority="55" operator="containsText" text="DPR not submitted">
      <formula>NOT(ISERROR(SEARCH("DPR not submitted",C222)))</formula>
    </cfRule>
    <cfRule type="containsText" dxfId="284" priority="56" operator="containsText" text="Yet to be approved">
      <formula>NOT(ISERROR(SEARCH("Yet to be approved",C222)))</formula>
    </cfRule>
  </conditionalFormatting>
  <conditionalFormatting sqref="C226">
    <cfRule type="containsText" dxfId="283" priority="53" operator="containsText" text="DPR not submitted">
      <formula>NOT(ISERROR(SEARCH("DPR not submitted",C226)))</formula>
    </cfRule>
    <cfRule type="containsText" dxfId="282" priority="54" operator="containsText" text="Yet to be approved">
      <formula>NOT(ISERROR(SEARCH("Yet to be approved",C226)))</formula>
    </cfRule>
  </conditionalFormatting>
  <conditionalFormatting sqref="C231">
    <cfRule type="containsText" dxfId="281" priority="51" operator="containsText" text="DPR not submitted">
      <formula>NOT(ISERROR(SEARCH("DPR not submitted",C231)))</formula>
    </cfRule>
    <cfRule type="containsText" dxfId="280" priority="52" operator="containsText" text="Yet to be approved">
      <formula>NOT(ISERROR(SEARCH("Yet to be approved",C231)))</formula>
    </cfRule>
  </conditionalFormatting>
  <conditionalFormatting sqref="C236">
    <cfRule type="containsText" dxfId="279" priority="49" operator="containsText" text="DPR not submitted">
      <formula>NOT(ISERROR(SEARCH("DPR not submitted",C236)))</formula>
    </cfRule>
    <cfRule type="containsText" dxfId="278" priority="50" operator="containsText" text="Yet to be approved">
      <formula>NOT(ISERROR(SEARCH("Yet to be approved",C236)))</formula>
    </cfRule>
  </conditionalFormatting>
  <conditionalFormatting sqref="C276:C278 C285:C288 C290:C295 C300:C313">
    <cfRule type="containsText" dxfId="277" priority="47" operator="containsText" text="DPR not submitted">
      <formula>NOT(ISERROR(SEARCH("DPR not submitted",C276)))</formula>
    </cfRule>
    <cfRule type="containsText" dxfId="276" priority="48" operator="containsText" text="Yet to be approved">
      <formula>NOT(ISERROR(SEARCH("Yet to be approved",C276)))</formula>
    </cfRule>
  </conditionalFormatting>
  <conditionalFormatting sqref="C299">
    <cfRule type="containsText" dxfId="275" priority="45" operator="containsText" text="DPR not submitted">
      <formula>NOT(ISERROR(SEARCH("DPR not submitted",C299)))</formula>
    </cfRule>
    <cfRule type="containsText" dxfId="274" priority="46" operator="containsText" text="Yet to be approved">
      <formula>NOT(ISERROR(SEARCH("Yet to be approved",C299)))</formula>
    </cfRule>
  </conditionalFormatting>
  <conditionalFormatting sqref="C280:C283">
    <cfRule type="containsText" dxfId="273" priority="43" operator="containsText" text="DPR not submitted">
      <formula>NOT(ISERROR(SEARCH("DPR not submitted",C280)))</formula>
    </cfRule>
    <cfRule type="containsText" dxfId="272" priority="44" operator="containsText" text="Yet to be approved">
      <formula>NOT(ISERROR(SEARCH("Yet to be approved",C280)))</formula>
    </cfRule>
  </conditionalFormatting>
  <conditionalFormatting sqref="C315:C322">
    <cfRule type="containsText" dxfId="271" priority="41" operator="containsText" text="DPR not submitted">
      <formula>NOT(ISERROR(SEARCH("DPR not submitted",C315)))</formula>
    </cfRule>
    <cfRule type="containsText" dxfId="270" priority="42" operator="containsText" text="Yet to be approved">
      <formula>NOT(ISERROR(SEARCH("Yet to be approved",C315)))</formula>
    </cfRule>
  </conditionalFormatting>
  <conditionalFormatting sqref="C275">
    <cfRule type="containsText" dxfId="269" priority="39" operator="containsText" text="DPR not submitted">
      <formula>NOT(ISERROR(SEARCH("DPR not submitted",C275)))</formula>
    </cfRule>
    <cfRule type="containsText" dxfId="268" priority="40" operator="containsText" text="Yet to be approved">
      <formula>NOT(ISERROR(SEARCH("Yet to be approved",C275)))</formula>
    </cfRule>
  </conditionalFormatting>
  <conditionalFormatting sqref="C279">
    <cfRule type="containsText" dxfId="267" priority="37" operator="containsText" text="DPR not submitted">
      <formula>NOT(ISERROR(SEARCH("DPR not submitted",C279)))</formula>
    </cfRule>
    <cfRule type="containsText" dxfId="266" priority="38" operator="containsText" text="Yet to be approved">
      <formula>NOT(ISERROR(SEARCH("Yet to be approved",C279)))</formula>
    </cfRule>
  </conditionalFormatting>
  <conditionalFormatting sqref="C284">
    <cfRule type="containsText" dxfId="265" priority="35" operator="containsText" text="DPR not submitted">
      <formula>NOT(ISERROR(SEARCH("DPR not submitted",C284)))</formula>
    </cfRule>
    <cfRule type="containsText" dxfId="264" priority="36" operator="containsText" text="Yet to be approved">
      <formula>NOT(ISERROR(SEARCH("Yet to be approved",C284)))</formula>
    </cfRule>
  </conditionalFormatting>
  <conditionalFormatting sqref="C289">
    <cfRule type="containsText" dxfId="263" priority="33" operator="containsText" text="DPR not submitted">
      <formula>NOT(ISERROR(SEARCH("DPR not submitted",C289)))</formula>
    </cfRule>
    <cfRule type="containsText" dxfId="262" priority="34" operator="containsText" text="Yet to be approved">
      <formula>NOT(ISERROR(SEARCH("Yet to be approved",C289)))</formula>
    </cfRule>
  </conditionalFormatting>
  <conditionalFormatting sqref="C329:C331 C338:C341 C343:C348 C353:C366">
    <cfRule type="containsText" dxfId="261" priority="31" operator="containsText" text="DPR not submitted">
      <formula>NOT(ISERROR(SEARCH("DPR not submitted",C329)))</formula>
    </cfRule>
    <cfRule type="containsText" dxfId="260" priority="32" operator="containsText" text="Yet to be approved">
      <formula>NOT(ISERROR(SEARCH("Yet to be approved",C329)))</formula>
    </cfRule>
  </conditionalFormatting>
  <conditionalFormatting sqref="C352">
    <cfRule type="containsText" dxfId="259" priority="29" operator="containsText" text="DPR not submitted">
      <formula>NOT(ISERROR(SEARCH("DPR not submitted",C352)))</formula>
    </cfRule>
    <cfRule type="containsText" dxfId="258" priority="30" operator="containsText" text="Yet to be approved">
      <formula>NOT(ISERROR(SEARCH("Yet to be approved",C352)))</formula>
    </cfRule>
  </conditionalFormatting>
  <conditionalFormatting sqref="C333:C336">
    <cfRule type="containsText" dxfId="257" priority="27" operator="containsText" text="DPR not submitted">
      <formula>NOT(ISERROR(SEARCH("DPR not submitted",C333)))</formula>
    </cfRule>
    <cfRule type="containsText" dxfId="256" priority="28" operator="containsText" text="Yet to be approved">
      <formula>NOT(ISERROR(SEARCH("Yet to be approved",C333)))</formula>
    </cfRule>
  </conditionalFormatting>
  <conditionalFormatting sqref="C368:C375">
    <cfRule type="containsText" dxfId="255" priority="25" operator="containsText" text="DPR not submitted">
      <formula>NOT(ISERROR(SEARCH("DPR not submitted",C368)))</formula>
    </cfRule>
    <cfRule type="containsText" dxfId="254" priority="26" operator="containsText" text="Yet to be approved">
      <formula>NOT(ISERROR(SEARCH("Yet to be approved",C368)))</formula>
    </cfRule>
  </conditionalFormatting>
  <conditionalFormatting sqref="C328">
    <cfRule type="containsText" dxfId="253" priority="23" operator="containsText" text="DPR not submitted">
      <formula>NOT(ISERROR(SEARCH("DPR not submitted",C328)))</formula>
    </cfRule>
    <cfRule type="containsText" dxfId="252" priority="24" operator="containsText" text="Yet to be approved">
      <formula>NOT(ISERROR(SEARCH("Yet to be approved",C328)))</formula>
    </cfRule>
  </conditionalFormatting>
  <conditionalFormatting sqref="C332">
    <cfRule type="containsText" dxfId="251" priority="21" operator="containsText" text="DPR not submitted">
      <formula>NOT(ISERROR(SEARCH("DPR not submitted",C332)))</formula>
    </cfRule>
    <cfRule type="containsText" dxfId="250" priority="22" operator="containsText" text="Yet to be approved">
      <formula>NOT(ISERROR(SEARCH("Yet to be approved",C332)))</formula>
    </cfRule>
  </conditionalFormatting>
  <conditionalFormatting sqref="C337">
    <cfRule type="containsText" dxfId="249" priority="19" operator="containsText" text="DPR not submitted">
      <formula>NOT(ISERROR(SEARCH("DPR not submitted",C337)))</formula>
    </cfRule>
    <cfRule type="containsText" dxfId="248" priority="20" operator="containsText" text="Yet to be approved">
      <formula>NOT(ISERROR(SEARCH("Yet to be approved",C337)))</formula>
    </cfRule>
  </conditionalFormatting>
  <conditionalFormatting sqref="C342">
    <cfRule type="containsText" dxfId="247" priority="17" operator="containsText" text="DPR not submitted">
      <formula>NOT(ISERROR(SEARCH("DPR not submitted",C342)))</formula>
    </cfRule>
    <cfRule type="containsText" dxfId="246" priority="18" operator="containsText" text="Yet to be approved">
      <formula>NOT(ISERROR(SEARCH("Yet to be approved",C342)))</formula>
    </cfRule>
  </conditionalFormatting>
  <conditionalFormatting sqref="C382:C384 C391:C394 C396:C401 C406:C419">
    <cfRule type="containsText" dxfId="245" priority="15" operator="containsText" text="DPR not submitted">
      <formula>NOT(ISERROR(SEARCH("DPR not submitted",C382)))</formula>
    </cfRule>
    <cfRule type="containsText" dxfId="244" priority="16" operator="containsText" text="Yet to be approved">
      <formula>NOT(ISERROR(SEARCH("Yet to be approved",C382)))</formula>
    </cfRule>
  </conditionalFormatting>
  <conditionalFormatting sqref="C405">
    <cfRule type="containsText" dxfId="243" priority="13" operator="containsText" text="DPR not submitted">
      <formula>NOT(ISERROR(SEARCH("DPR not submitted",C405)))</formula>
    </cfRule>
    <cfRule type="containsText" dxfId="242" priority="14" operator="containsText" text="Yet to be approved">
      <formula>NOT(ISERROR(SEARCH("Yet to be approved",C405)))</formula>
    </cfRule>
  </conditionalFormatting>
  <conditionalFormatting sqref="C386:C389">
    <cfRule type="containsText" dxfId="241" priority="11" operator="containsText" text="DPR not submitted">
      <formula>NOT(ISERROR(SEARCH("DPR not submitted",C386)))</formula>
    </cfRule>
    <cfRule type="containsText" dxfId="240" priority="12" operator="containsText" text="Yet to be approved">
      <formula>NOT(ISERROR(SEARCH("Yet to be approved",C386)))</formula>
    </cfRule>
  </conditionalFormatting>
  <conditionalFormatting sqref="C421:C428">
    <cfRule type="containsText" dxfId="239" priority="9" operator="containsText" text="DPR not submitted">
      <formula>NOT(ISERROR(SEARCH("DPR not submitted",C421)))</formula>
    </cfRule>
    <cfRule type="containsText" dxfId="238" priority="10" operator="containsText" text="Yet to be approved">
      <formula>NOT(ISERROR(SEARCH("Yet to be approved",C421)))</formula>
    </cfRule>
  </conditionalFormatting>
  <conditionalFormatting sqref="C381">
    <cfRule type="containsText" dxfId="237" priority="7" operator="containsText" text="DPR not submitted">
      <formula>NOT(ISERROR(SEARCH("DPR not submitted",C381)))</formula>
    </cfRule>
    <cfRule type="containsText" dxfId="236" priority="8" operator="containsText" text="Yet to be approved">
      <formula>NOT(ISERROR(SEARCH("Yet to be approved",C381)))</formula>
    </cfRule>
  </conditionalFormatting>
  <conditionalFormatting sqref="C385">
    <cfRule type="containsText" dxfId="235" priority="5" operator="containsText" text="DPR not submitted">
      <formula>NOT(ISERROR(SEARCH("DPR not submitted",C385)))</formula>
    </cfRule>
    <cfRule type="containsText" dxfId="234" priority="6" operator="containsText" text="Yet to be approved">
      <formula>NOT(ISERROR(SEARCH("Yet to be approved",C385)))</formula>
    </cfRule>
  </conditionalFormatting>
  <conditionalFormatting sqref="C390">
    <cfRule type="containsText" dxfId="233" priority="3" operator="containsText" text="DPR not submitted">
      <formula>NOT(ISERROR(SEARCH("DPR not submitted",C390)))</formula>
    </cfRule>
    <cfRule type="containsText" dxfId="232" priority="4" operator="containsText" text="Yet to be approved">
      <formula>NOT(ISERROR(SEARCH("Yet to be approved",C390)))</formula>
    </cfRule>
  </conditionalFormatting>
  <conditionalFormatting sqref="C395">
    <cfRule type="containsText" dxfId="231" priority="1" operator="containsText" text="DPR not submitted">
      <formula>NOT(ISERROR(SEARCH("DPR not submitted",C395)))</formula>
    </cfRule>
    <cfRule type="containsText" dxfId="230" priority="2" operator="containsText" text="Yet to be approved">
      <formula>NOT(ISERROR(SEARCH("Yet to be approved",C395)))</formula>
    </cfRule>
  </conditionalFormatting>
  <printOptions verticalCentered="1"/>
  <pageMargins left="0.55118110236220474" right="0" top="0.23622047244094491" bottom="0.23622047244094491" header="0.23622047244094491" footer="0.23622047244094491"/>
  <pageSetup paperSize="9" scale="60" orientation="landscape" r:id="rId1"/>
  <headerFooter alignWithMargins="0">
    <oddHeader>&amp;F</oddHeader>
  </headerFooter>
  <rowBreaks count="7" manualBreakCount="7">
    <brk id="32" max="13" man="1"/>
    <brk id="58" max="13" man="1"/>
    <brk id="85" max="13" man="1"/>
    <brk id="110" max="13" man="1"/>
    <brk id="164" max="13" man="1"/>
    <brk id="217" max="13" man="1"/>
    <brk id="27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40"/>
  <sheetViews>
    <sheetView view="pageBreakPreview" zoomScale="80" zoomScaleNormal="70" zoomScaleSheetLayoutView="80" workbookViewId="0">
      <pane xSplit="2" ySplit="6" topLeftCell="C25" activePane="bottomRight" state="frozen"/>
      <selection activeCell="N10" sqref="N10:N32"/>
      <selection pane="topRight" activeCell="N10" sqref="N10:N32"/>
      <selection pane="bottomLeft" activeCell="N10" sqref="N10:N32"/>
      <selection pane="bottomRight" activeCell="D1" sqref="A1:XFD1048576"/>
    </sheetView>
  </sheetViews>
  <sheetFormatPr defaultRowHeight="14.5" x14ac:dyDescent="0.35"/>
  <cols>
    <col min="1" max="1" width="6.54296875" style="1282" customWidth="1"/>
    <col min="2" max="2" width="48.54296875" style="1283" customWidth="1"/>
    <col min="3" max="3" width="9.54296875" style="1283" customWidth="1"/>
    <col min="4" max="4" width="27.7265625" style="1311" customWidth="1"/>
    <col min="5" max="5" width="11.54296875" style="1284" customWidth="1"/>
    <col min="6" max="6" width="11.453125" style="1285" customWidth="1"/>
    <col min="7" max="7" width="9.453125" style="1286" bestFit="1" customWidth="1"/>
    <col min="8" max="12" width="8.7265625" style="1286" customWidth="1"/>
    <col min="13" max="13" width="9.453125" style="1285" bestFit="1" customWidth="1"/>
    <col min="14" max="14" width="9.7265625" style="1285" customWidth="1"/>
    <col min="15" max="15" width="10" style="1285" customWidth="1"/>
    <col min="16" max="16" width="8.7265625" style="1285" customWidth="1"/>
    <col min="17" max="17" width="6.54296875" style="1285" bestFit="1" customWidth="1"/>
    <col min="18" max="18" width="9.7265625" style="1285" bestFit="1" customWidth="1"/>
    <col min="19" max="19" width="10.26953125" style="1283" customWidth="1"/>
    <col min="20" max="20" width="12.7265625" style="1285" customWidth="1"/>
    <col min="21" max="21" width="14" style="1285" customWidth="1"/>
    <col min="22" max="24" width="12.7265625" style="1285" customWidth="1"/>
    <col min="25" max="25" width="15.26953125" style="1285" customWidth="1"/>
    <col min="26" max="26" width="12.54296875" style="1285" customWidth="1"/>
    <col min="27" max="27" width="13.453125" style="1285" customWidth="1"/>
    <col min="28" max="28" width="13.54296875" style="1285" customWidth="1"/>
    <col min="29" max="256" width="8.7265625" style="1285"/>
    <col min="257" max="257" width="6.54296875" style="1285" customWidth="1"/>
    <col min="258" max="258" width="48.54296875" style="1285" customWidth="1"/>
    <col min="259" max="259" width="9.54296875" style="1285" customWidth="1"/>
    <col min="260" max="260" width="27.7265625" style="1285" customWidth="1"/>
    <col min="261" max="261" width="11.54296875" style="1285" customWidth="1"/>
    <col min="262" max="262" width="11.453125" style="1285" customWidth="1"/>
    <col min="263" max="268" width="8.7265625" style="1285" customWidth="1"/>
    <col min="269" max="269" width="9.453125" style="1285" bestFit="1" customWidth="1"/>
    <col min="270" max="270" width="9.7265625" style="1285" customWidth="1"/>
    <col min="271" max="271" width="10" style="1285" customWidth="1"/>
    <col min="272" max="272" width="8.7265625" style="1285" customWidth="1"/>
    <col min="273" max="273" width="6.54296875" style="1285" bestFit="1" customWidth="1"/>
    <col min="274" max="274" width="9.7265625" style="1285" bestFit="1" customWidth="1"/>
    <col min="275" max="275" width="10.26953125" style="1285" customWidth="1"/>
    <col min="276" max="276" width="12.7265625" style="1285" customWidth="1"/>
    <col min="277" max="277" width="14" style="1285" customWidth="1"/>
    <col min="278" max="280" width="12.7265625" style="1285" customWidth="1"/>
    <col min="281" max="281" width="15.26953125" style="1285" customWidth="1"/>
    <col min="282" max="282" width="12.54296875" style="1285" customWidth="1"/>
    <col min="283" max="283" width="13.453125" style="1285" customWidth="1"/>
    <col min="284" max="284" width="13.54296875" style="1285" customWidth="1"/>
    <col min="285" max="512" width="8.7265625" style="1285"/>
    <col min="513" max="513" width="6.54296875" style="1285" customWidth="1"/>
    <col min="514" max="514" width="48.54296875" style="1285" customWidth="1"/>
    <col min="515" max="515" width="9.54296875" style="1285" customWidth="1"/>
    <col min="516" max="516" width="27.7265625" style="1285" customWidth="1"/>
    <col min="517" max="517" width="11.54296875" style="1285" customWidth="1"/>
    <col min="518" max="518" width="11.453125" style="1285" customWidth="1"/>
    <col min="519" max="524" width="8.7265625" style="1285" customWidth="1"/>
    <col min="525" max="525" width="9.453125" style="1285" bestFit="1" customWidth="1"/>
    <col min="526" max="526" width="9.7265625" style="1285" customWidth="1"/>
    <col min="527" max="527" width="10" style="1285" customWidth="1"/>
    <col min="528" max="528" width="8.7265625" style="1285" customWidth="1"/>
    <col min="529" max="529" width="6.54296875" style="1285" bestFit="1" customWidth="1"/>
    <col min="530" max="530" width="9.7265625" style="1285" bestFit="1" customWidth="1"/>
    <col min="531" max="531" width="10.26953125" style="1285" customWidth="1"/>
    <col min="532" max="532" width="12.7265625" style="1285" customWidth="1"/>
    <col min="533" max="533" width="14" style="1285" customWidth="1"/>
    <col min="534" max="536" width="12.7265625" style="1285" customWidth="1"/>
    <col min="537" max="537" width="15.26953125" style="1285" customWidth="1"/>
    <col min="538" max="538" width="12.54296875" style="1285" customWidth="1"/>
    <col min="539" max="539" width="13.453125" style="1285" customWidth="1"/>
    <col min="540" max="540" width="13.54296875" style="1285" customWidth="1"/>
    <col min="541" max="768" width="8.7265625" style="1285"/>
    <col min="769" max="769" width="6.54296875" style="1285" customWidth="1"/>
    <col min="770" max="770" width="48.54296875" style="1285" customWidth="1"/>
    <col min="771" max="771" width="9.54296875" style="1285" customWidth="1"/>
    <col min="772" max="772" width="27.7265625" style="1285" customWidth="1"/>
    <col min="773" max="773" width="11.54296875" style="1285" customWidth="1"/>
    <col min="774" max="774" width="11.453125" style="1285" customWidth="1"/>
    <col min="775" max="780" width="8.7265625" style="1285" customWidth="1"/>
    <col min="781" max="781" width="9.453125" style="1285" bestFit="1" customWidth="1"/>
    <col min="782" max="782" width="9.7265625" style="1285" customWidth="1"/>
    <col min="783" max="783" width="10" style="1285" customWidth="1"/>
    <col min="784" max="784" width="8.7265625" style="1285" customWidth="1"/>
    <col min="785" max="785" width="6.54296875" style="1285" bestFit="1" customWidth="1"/>
    <col min="786" max="786" width="9.7265625" style="1285" bestFit="1" customWidth="1"/>
    <col min="787" max="787" width="10.26953125" style="1285" customWidth="1"/>
    <col min="788" max="788" width="12.7265625" style="1285" customWidth="1"/>
    <col min="789" max="789" width="14" style="1285" customWidth="1"/>
    <col min="790" max="792" width="12.7265625" style="1285" customWidth="1"/>
    <col min="793" max="793" width="15.26953125" style="1285" customWidth="1"/>
    <col min="794" max="794" width="12.54296875" style="1285" customWidth="1"/>
    <col min="795" max="795" width="13.453125" style="1285" customWidth="1"/>
    <col min="796" max="796" width="13.54296875" style="1285" customWidth="1"/>
    <col min="797" max="1024" width="8.7265625" style="1285"/>
    <col min="1025" max="1025" width="6.54296875" style="1285" customWidth="1"/>
    <col min="1026" max="1026" width="48.54296875" style="1285" customWidth="1"/>
    <col min="1027" max="1027" width="9.54296875" style="1285" customWidth="1"/>
    <col min="1028" max="1028" width="27.7265625" style="1285" customWidth="1"/>
    <col min="1029" max="1029" width="11.54296875" style="1285" customWidth="1"/>
    <col min="1030" max="1030" width="11.453125" style="1285" customWidth="1"/>
    <col min="1031" max="1036" width="8.7265625" style="1285" customWidth="1"/>
    <col min="1037" max="1037" width="9.453125" style="1285" bestFit="1" customWidth="1"/>
    <col min="1038" max="1038" width="9.7265625" style="1285" customWidth="1"/>
    <col min="1039" max="1039" width="10" style="1285" customWidth="1"/>
    <col min="1040" max="1040" width="8.7265625" style="1285" customWidth="1"/>
    <col min="1041" max="1041" width="6.54296875" style="1285" bestFit="1" customWidth="1"/>
    <col min="1042" max="1042" width="9.7265625" style="1285" bestFit="1" customWidth="1"/>
    <col min="1043" max="1043" width="10.26953125" style="1285" customWidth="1"/>
    <col min="1044" max="1044" width="12.7265625" style="1285" customWidth="1"/>
    <col min="1045" max="1045" width="14" style="1285" customWidth="1"/>
    <col min="1046" max="1048" width="12.7265625" style="1285" customWidth="1"/>
    <col min="1049" max="1049" width="15.26953125" style="1285" customWidth="1"/>
    <col min="1050" max="1050" width="12.54296875" style="1285" customWidth="1"/>
    <col min="1051" max="1051" width="13.453125" style="1285" customWidth="1"/>
    <col min="1052" max="1052" width="13.54296875" style="1285" customWidth="1"/>
    <col min="1053" max="1280" width="8.7265625" style="1285"/>
    <col min="1281" max="1281" width="6.54296875" style="1285" customWidth="1"/>
    <col min="1282" max="1282" width="48.54296875" style="1285" customWidth="1"/>
    <col min="1283" max="1283" width="9.54296875" style="1285" customWidth="1"/>
    <col min="1284" max="1284" width="27.7265625" style="1285" customWidth="1"/>
    <col min="1285" max="1285" width="11.54296875" style="1285" customWidth="1"/>
    <col min="1286" max="1286" width="11.453125" style="1285" customWidth="1"/>
    <col min="1287" max="1292" width="8.7265625" style="1285" customWidth="1"/>
    <col min="1293" max="1293" width="9.453125" style="1285" bestFit="1" customWidth="1"/>
    <col min="1294" max="1294" width="9.7265625" style="1285" customWidth="1"/>
    <col min="1295" max="1295" width="10" style="1285" customWidth="1"/>
    <col min="1296" max="1296" width="8.7265625" style="1285" customWidth="1"/>
    <col min="1297" max="1297" width="6.54296875" style="1285" bestFit="1" customWidth="1"/>
    <col min="1298" max="1298" width="9.7265625" style="1285" bestFit="1" customWidth="1"/>
    <col min="1299" max="1299" width="10.26953125" style="1285" customWidth="1"/>
    <col min="1300" max="1300" width="12.7265625" style="1285" customWidth="1"/>
    <col min="1301" max="1301" width="14" style="1285" customWidth="1"/>
    <col min="1302" max="1304" width="12.7265625" style="1285" customWidth="1"/>
    <col min="1305" max="1305" width="15.26953125" style="1285" customWidth="1"/>
    <col min="1306" max="1306" width="12.54296875" style="1285" customWidth="1"/>
    <col min="1307" max="1307" width="13.453125" style="1285" customWidth="1"/>
    <col min="1308" max="1308" width="13.54296875" style="1285" customWidth="1"/>
    <col min="1309" max="1536" width="8.7265625" style="1285"/>
    <col min="1537" max="1537" width="6.54296875" style="1285" customWidth="1"/>
    <col min="1538" max="1538" width="48.54296875" style="1285" customWidth="1"/>
    <col min="1539" max="1539" width="9.54296875" style="1285" customWidth="1"/>
    <col min="1540" max="1540" width="27.7265625" style="1285" customWidth="1"/>
    <col min="1541" max="1541" width="11.54296875" style="1285" customWidth="1"/>
    <col min="1542" max="1542" width="11.453125" style="1285" customWidth="1"/>
    <col min="1543" max="1548" width="8.7265625" style="1285" customWidth="1"/>
    <col min="1549" max="1549" width="9.453125" style="1285" bestFit="1" customWidth="1"/>
    <col min="1550" max="1550" width="9.7265625" style="1285" customWidth="1"/>
    <col min="1551" max="1551" width="10" style="1285" customWidth="1"/>
    <col min="1552" max="1552" width="8.7265625" style="1285" customWidth="1"/>
    <col min="1553" max="1553" width="6.54296875" style="1285" bestFit="1" customWidth="1"/>
    <col min="1554" max="1554" width="9.7265625" style="1285" bestFit="1" customWidth="1"/>
    <col min="1555" max="1555" width="10.26953125" style="1285" customWidth="1"/>
    <col min="1556" max="1556" width="12.7265625" style="1285" customWidth="1"/>
    <col min="1557" max="1557" width="14" style="1285" customWidth="1"/>
    <col min="1558" max="1560" width="12.7265625" style="1285" customWidth="1"/>
    <col min="1561" max="1561" width="15.26953125" style="1285" customWidth="1"/>
    <col min="1562" max="1562" width="12.54296875" style="1285" customWidth="1"/>
    <col min="1563" max="1563" width="13.453125" style="1285" customWidth="1"/>
    <col min="1564" max="1564" width="13.54296875" style="1285" customWidth="1"/>
    <col min="1565" max="1792" width="8.7265625" style="1285"/>
    <col min="1793" max="1793" width="6.54296875" style="1285" customWidth="1"/>
    <col min="1794" max="1794" width="48.54296875" style="1285" customWidth="1"/>
    <col min="1795" max="1795" width="9.54296875" style="1285" customWidth="1"/>
    <col min="1796" max="1796" width="27.7265625" style="1285" customWidth="1"/>
    <col min="1797" max="1797" width="11.54296875" style="1285" customWidth="1"/>
    <col min="1798" max="1798" width="11.453125" style="1285" customWidth="1"/>
    <col min="1799" max="1804" width="8.7265625" style="1285" customWidth="1"/>
    <col min="1805" max="1805" width="9.453125" style="1285" bestFit="1" customWidth="1"/>
    <col min="1806" max="1806" width="9.7265625" style="1285" customWidth="1"/>
    <col min="1807" max="1807" width="10" style="1285" customWidth="1"/>
    <col min="1808" max="1808" width="8.7265625" style="1285" customWidth="1"/>
    <col min="1809" max="1809" width="6.54296875" style="1285" bestFit="1" customWidth="1"/>
    <col min="1810" max="1810" width="9.7265625" style="1285" bestFit="1" customWidth="1"/>
    <col min="1811" max="1811" width="10.26953125" style="1285" customWidth="1"/>
    <col min="1812" max="1812" width="12.7265625" style="1285" customWidth="1"/>
    <col min="1813" max="1813" width="14" style="1285" customWidth="1"/>
    <col min="1814" max="1816" width="12.7265625" style="1285" customWidth="1"/>
    <col min="1817" max="1817" width="15.26953125" style="1285" customWidth="1"/>
    <col min="1818" max="1818" width="12.54296875" style="1285" customWidth="1"/>
    <col min="1819" max="1819" width="13.453125" style="1285" customWidth="1"/>
    <col min="1820" max="1820" width="13.54296875" style="1285" customWidth="1"/>
    <col min="1821" max="2048" width="8.7265625" style="1285"/>
    <col min="2049" max="2049" width="6.54296875" style="1285" customWidth="1"/>
    <col min="2050" max="2050" width="48.54296875" style="1285" customWidth="1"/>
    <col min="2051" max="2051" width="9.54296875" style="1285" customWidth="1"/>
    <col min="2052" max="2052" width="27.7265625" style="1285" customWidth="1"/>
    <col min="2053" max="2053" width="11.54296875" style="1285" customWidth="1"/>
    <col min="2054" max="2054" width="11.453125" style="1285" customWidth="1"/>
    <col min="2055" max="2060" width="8.7265625" style="1285" customWidth="1"/>
    <col min="2061" max="2061" width="9.453125" style="1285" bestFit="1" customWidth="1"/>
    <col min="2062" max="2062" width="9.7265625" style="1285" customWidth="1"/>
    <col min="2063" max="2063" width="10" style="1285" customWidth="1"/>
    <col min="2064" max="2064" width="8.7265625" style="1285" customWidth="1"/>
    <col min="2065" max="2065" width="6.54296875" style="1285" bestFit="1" customWidth="1"/>
    <col min="2066" max="2066" width="9.7265625" style="1285" bestFit="1" customWidth="1"/>
    <col min="2067" max="2067" width="10.26953125" style="1285" customWidth="1"/>
    <col min="2068" max="2068" width="12.7265625" style="1285" customWidth="1"/>
    <col min="2069" max="2069" width="14" style="1285" customWidth="1"/>
    <col min="2070" max="2072" width="12.7265625" style="1285" customWidth="1"/>
    <col min="2073" max="2073" width="15.26953125" style="1285" customWidth="1"/>
    <col min="2074" max="2074" width="12.54296875" style="1285" customWidth="1"/>
    <col min="2075" max="2075" width="13.453125" style="1285" customWidth="1"/>
    <col min="2076" max="2076" width="13.54296875" style="1285" customWidth="1"/>
    <col min="2077" max="2304" width="8.7265625" style="1285"/>
    <col min="2305" max="2305" width="6.54296875" style="1285" customWidth="1"/>
    <col min="2306" max="2306" width="48.54296875" style="1285" customWidth="1"/>
    <col min="2307" max="2307" width="9.54296875" style="1285" customWidth="1"/>
    <col min="2308" max="2308" width="27.7265625" style="1285" customWidth="1"/>
    <col min="2309" max="2309" width="11.54296875" style="1285" customWidth="1"/>
    <col min="2310" max="2310" width="11.453125" style="1285" customWidth="1"/>
    <col min="2311" max="2316" width="8.7265625" style="1285" customWidth="1"/>
    <col min="2317" max="2317" width="9.453125" style="1285" bestFit="1" customWidth="1"/>
    <col min="2318" max="2318" width="9.7265625" style="1285" customWidth="1"/>
    <col min="2319" max="2319" width="10" style="1285" customWidth="1"/>
    <col min="2320" max="2320" width="8.7265625" style="1285" customWidth="1"/>
    <col min="2321" max="2321" width="6.54296875" style="1285" bestFit="1" customWidth="1"/>
    <col min="2322" max="2322" width="9.7265625" style="1285" bestFit="1" customWidth="1"/>
    <col min="2323" max="2323" width="10.26953125" style="1285" customWidth="1"/>
    <col min="2324" max="2324" width="12.7265625" style="1285" customWidth="1"/>
    <col min="2325" max="2325" width="14" style="1285" customWidth="1"/>
    <col min="2326" max="2328" width="12.7265625" style="1285" customWidth="1"/>
    <col min="2329" max="2329" width="15.26953125" style="1285" customWidth="1"/>
    <col min="2330" max="2330" width="12.54296875" style="1285" customWidth="1"/>
    <col min="2331" max="2331" width="13.453125" style="1285" customWidth="1"/>
    <col min="2332" max="2332" width="13.54296875" style="1285" customWidth="1"/>
    <col min="2333" max="2560" width="8.7265625" style="1285"/>
    <col min="2561" max="2561" width="6.54296875" style="1285" customWidth="1"/>
    <col min="2562" max="2562" width="48.54296875" style="1285" customWidth="1"/>
    <col min="2563" max="2563" width="9.54296875" style="1285" customWidth="1"/>
    <col min="2564" max="2564" width="27.7265625" style="1285" customWidth="1"/>
    <col min="2565" max="2565" width="11.54296875" style="1285" customWidth="1"/>
    <col min="2566" max="2566" width="11.453125" style="1285" customWidth="1"/>
    <col min="2567" max="2572" width="8.7265625" style="1285" customWidth="1"/>
    <col min="2573" max="2573" width="9.453125" style="1285" bestFit="1" customWidth="1"/>
    <col min="2574" max="2574" width="9.7265625" style="1285" customWidth="1"/>
    <col min="2575" max="2575" width="10" style="1285" customWidth="1"/>
    <col min="2576" max="2576" width="8.7265625" style="1285" customWidth="1"/>
    <col min="2577" max="2577" width="6.54296875" style="1285" bestFit="1" customWidth="1"/>
    <col min="2578" max="2578" width="9.7265625" style="1285" bestFit="1" customWidth="1"/>
    <col min="2579" max="2579" width="10.26953125" style="1285" customWidth="1"/>
    <col min="2580" max="2580" width="12.7265625" style="1285" customWidth="1"/>
    <col min="2581" max="2581" width="14" style="1285" customWidth="1"/>
    <col min="2582" max="2584" width="12.7265625" style="1285" customWidth="1"/>
    <col min="2585" max="2585" width="15.26953125" style="1285" customWidth="1"/>
    <col min="2586" max="2586" width="12.54296875" style="1285" customWidth="1"/>
    <col min="2587" max="2587" width="13.453125" style="1285" customWidth="1"/>
    <col min="2588" max="2588" width="13.54296875" style="1285" customWidth="1"/>
    <col min="2589" max="2816" width="8.7265625" style="1285"/>
    <col min="2817" max="2817" width="6.54296875" style="1285" customWidth="1"/>
    <col min="2818" max="2818" width="48.54296875" style="1285" customWidth="1"/>
    <col min="2819" max="2819" width="9.54296875" style="1285" customWidth="1"/>
    <col min="2820" max="2820" width="27.7265625" style="1285" customWidth="1"/>
    <col min="2821" max="2821" width="11.54296875" style="1285" customWidth="1"/>
    <col min="2822" max="2822" width="11.453125" style="1285" customWidth="1"/>
    <col min="2823" max="2828" width="8.7265625" style="1285" customWidth="1"/>
    <col min="2829" max="2829" width="9.453125" style="1285" bestFit="1" customWidth="1"/>
    <col min="2830" max="2830" width="9.7265625" style="1285" customWidth="1"/>
    <col min="2831" max="2831" width="10" style="1285" customWidth="1"/>
    <col min="2832" max="2832" width="8.7265625" style="1285" customWidth="1"/>
    <col min="2833" max="2833" width="6.54296875" style="1285" bestFit="1" customWidth="1"/>
    <col min="2834" max="2834" width="9.7265625" style="1285" bestFit="1" customWidth="1"/>
    <col min="2835" max="2835" width="10.26953125" style="1285" customWidth="1"/>
    <col min="2836" max="2836" width="12.7265625" style="1285" customWidth="1"/>
    <col min="2837" max="2837" width="14" style="1285" customWidth="1"/>
    <col min="2838" max="2840" width="12.7265625" style="1285" customWidth="1"/>
    <col min="2841" max="2841" width="15.26953125" style="1285" customWidth="1"/>
    <col min="2842" max="2842" width="12.54296875" style="1285" customWidth="1"/>
    <col min="2843" max="2843" width="13.453125" style="1285" customWidth="1"/>
    <col min="2844" max="2844" width="13.54296875" style="1285" customWidth="1"/>
    <col min="2845" max="3072" width="8.7265625" style="1285"/>
    <col min="3073" max="3073" width="6.54296875" style="1285" customWidth="1"/>
    <col min="3074" max="3074" width="48.54296875" style="1285" customWidth="1"/>
    <col min="3075" max="3075" width="9.54296875" style="1285" customWidth="1"/>
    <col min="3076" max="3076" width="27.7265625" style="1285" customWidth="1"/>
    <col min="3077" max="3077" width="11.54296875" style="1285" customWidth="1"/>
    <col min="3078" max="3078" width="11.453125" style="1285" customWidth="1"/>
    <col min="3079" max="3084" width="8.7265625" style="1285" customWidth="1"/>
    <col min="3085" max="3085" width="9.453125" style="1285" bestFit="1" customWidth="1"/>
    <col min="3086" max="3086" width="9.7265625" style="1285" customWidth="1"/>
    <col min="3087" max="3087" width="10" style="1285" customWidth="1"/>
    <col min="3088" max="3088" width="8.7265625" style="1285" customWidth="1"/>
    <col min="3089" max="3089" width="6.54296875" style="1285" bestFit="1" customWidth="1"/>
    <col min="3090" max="3090" width="9.7265625" style="1285" bestFit="1" customWidth="1"/>
    <col min="3091" max="3091" width="10.26953125" style="1285" customWidth="1"/>
    <col min="3092" max="3092" width="12.7265625" style="1285" customWidth="1"/>
    <col min="3093" max="3093" width="14" style="1285" customWidth="1"/>
    <col min="3094" max="3096" width="12.7265625" style="1285" customWidth="1"/>
    <col min="3097" max="3097" width="15.26953125" style="1285" customWidth="1"/>
    <col min="3098" max="3098" width="12.54296875" style="1285" customWidth="1"/>
    <col min="3099" max="3099" width="13.453125" style="1285" customWidth="1"/>
    <col min="3100" max="3100" width="13.54296875" style="1285" customWidth="1"/>
    <col min="3101" max="3328" width="8.7265625" style="1285"/>
    <col min="3329" max="3329" width="6.54296875" style="1285" customWidth="1"/>
    <col min="3330" max="3330" width="48.54296875" style="1285" customWidth="1"/>
    <col min="3331" max="3331" width="9.54296875" style="1285" customWidth="1"/>
    <col min="3332" max="3332" width="27.7265625" style="1285" customWidth="1"/>
    <col min="3333" max="3333" width="11.54296875" style="1285" customWidth="1"/>
    <col min="3334" max="3334" width="11.453125" style="1285" customWidth="1"/>
    <col min="3335" max="3340" width="8.7265625" style="1285" customWidth="1"/>
    <col min="3341" max="3341" width="9.453125" style="1285" bestFit="1" customWidth="1"/>
    <col min="3342" max="3342" width="9.7265625" style="1285" customWidth="1"/>
    <col min="3343" max="3343" width="10" style="1285" customWidth="1"/>
    <col min="3344" max="3344" width="8.7265625" style="1285" customWidth="1"/>
    <col min="3345" max="3345" width="6.54296875" style="1285" bestFit="1" customWidth="1"/>
    <col min="3346" max="3346" width="9.7265625" style="1285" bestFit="1" customWidth="1"/>
    <col min="3347" max="3347" width="10.26953125" style="1285" customWidth="1"/>
    <col min="3348" max="3348" width="12.7265625" style="1285" customWidth="1"/>
    <col min="3349" max="3349" width="14" style="1285" customWidth="1"/>
    <col min="3350" max="3352" width="12.7265625" style="1285" customWidth="1"/>
    <col min="3353" max="3353" width="15.26953125" style="1285" customWidth="1"/>
    <col min="3354" max="3354" width="12.54296875" style="1285" customWidth="1"/>
    <col min="3355" max="3355" width="13.453125" style="1285" customWidth="1"/>
    <col min="3356" max="3356" width="13.54296875" style="1285" customWidth="1"/>
    <col min="3357" max="3584" width="8.7265625" style="1285"/>
    <col min="3585" max="3585" width="6.54296875" style="1285" customWidth="1"/>
    <col min="3586" max="3586" width="48.54296875" style="1285" customWidth="1"/>
    <col min="3587" max="3587" width="9.54296875" style="1285" customWidth="1"/>
    <col min="3588" max="3588" width="27.7265625" style="1285" customWidth="1"/>
    <col min="3589" max="3589" width="11.54296875" style="1285" customWidth="1"/>
    <col min="3590" max="3590" width="11.453125" style="1285" customWidth="1"/>
    <col min="3591" max="3596" width="8.7265625" style="1285" customWidth="1"/>
    <col min="3597" max="3597" width="9.453125" style="1285" bestFit="1" customWidth="1"/>
    <col min="3598" max="3598" width="9.7265625" style="1285" customWidth="1"/>
    <col min="3599" max="3599" width="10" style="1285" customWidth="1"/>
    <col min="3600" max="3600" width="8.7265625" style="1285" customWidth="1"/>
    <col min="3601" max="3601" width="6.54296875" style="1285" bestFit="1" customWidth="1"/>
    <col min="3602" max="3602" width="9.7265625" style="1285" bestFit="1" customWidth="1"/>
    <col min="3603" max="3603" width="10.26953125" style="1285" customWidth="1"/>
    <col min="3604" max="3604" width="12.7265625" style="1285" customWidth="1"/>
    <col min="3605" max="3605" width="14" style="1285" customWidth="1"/>
    <col min="3606" max="3608" width="12.7265625" style="1285" customWidth="1"/>
    <col min="3609" max="3609" width="15.26953125" style="1285" customWidth="1"/>
    <col min="3610" max="3610" width="12.54296875" style="1285" customWidth="1"/>
    <col min="3611" max="3611" width="13.453125" style="1285" customWidth="1"/>
    <col min="3612" max="3612" width="13.54296875" style="1285" customWidth="1"/>
    <col min="3613" max="3840" width="8.7265625" style="1285"/>
    <col min="3841" max="3841" width="6.54296875" style="1285" customWidth="1"/>
    <col min="3842" max="3842" width="48.54296875" style="1285" customWidth="1"/>
    <col min="3843" max="3843" width="9.54296875" style="1285" customWidth="1"/>
    <col min="3844" max="3844" width="27.7265625" style="1285" customWidth="1"/>
    <col min="3845" max="3845" width="11.54296875" style="1285" customWidth="1"/>
    <col min="3846" max="3846" width="11.453125" style="1285" customWidth="1"/>
    <col min="3847" max="3852" width="8.7265625" style="1285" customWidth="1"/>
    <col min="3853" max="3853" width="9.453125" style="1285" bestFit="1" customWidth="1"/>
    <col min="3854" max="3854" width="9.7265625" style="1285" customWidth="1"/>
    <col min="3855" max="3855" width="10" style="1285" customWidth="1"/>
    <col min="3856" max="3856" width="8.7265625" style="1285" customWidth="1"/>
    <col min="3857" max="3857" width="6.54296875" style="1285" bestFit="1" customWidth="1"/>
    <col min="3858" max="3858" width="9.7265625" style="1285" bestFit="1" customWidth="1"/>
    <col min="3859" max="3859" width="10.26953125" style="1285" customWidth="1"/>
    <col min="3860" max="3860" width="12.7265625" style="1285" customWidth="1"/>
    <col min="3861" max="3861" width="14" style="1285" customWidth="1"/>
    <col min="3862" max="3864" width="12.7265625" style="1285" customWidth="1"/>
    <col min="3865" max="3865" width="15.26953125" style="1285" customWidth="1"/>
    <col min="3866" max="3866" width="12.54296875" style="1285" customWidth="1"/>
    <col min="3867" max="3867" width="13.453125" style="1285" customWidth="1"/>
    <col min="3868" max="3868" width="13.54296875" style="1285" customWidth="1"/>
    <col min="3869" max="4096" width="8.7265625" style="1285"/>
    <col min="4097" max="4097" width="6.54296875" style="1285" customWidth="1"/>
    <col min="4098" max="4098" width="48.54296875" style="1285" customWidth="1"/>
    <col min="4099" max="4099" width="9.54296875" style="1285" customWidth="1"/>
    <col min="4100" max="4100" width="27.7265625" style="1285" customWidth="1"/>
    <col min="4101" max="4101" width="11.54296875" style="1285" customWidth="1"/>
    <col min="4102" max="4102" width="11.453125" style="1285" customWidth="1"/>
    <col min="4103" max="4108" width="8.7265625" style="1285" customWidth="1"/>
    <col min="4109" max="4109" width="9.453125" style="1285" bestFit="1" customWidth="1"/>
    <col min="4110" max="4110" width="9.7265625" style="1285" customWidth="1"/>
    <col min="4111" max="4111" width="10" style="1285" customWidth="1"/>
    <col min="4112" max="4112" width="8.7265625" style="1285" customWidth="1"/>
    <col min="4113" max="4113" width="6.54296875" style="1285" bestFit="1" customWidth="1"/>
    <col min="4114" max="4114" width="9.7265625" style="1285" bestFit="1" customWidth="1"/>
    <col min="4115" max="4115" width="10.26953125" style="1285" customWidth="1"/>
    <col min="4116" max="4116" width="12.7265625" style="1285" customWidth="1"/>
    <col min="4117" max="4117" width="14" style="1285" customWidth="1"/>
    <col min="4118" max="4120" width="12.7265625" style="1285" customWidth="1"/>
    <col min="4121" max="4121" width="15.26953125" style="1285" customWidth="1"/>
    <col min="4122" max="4122" width="12.54296875" style="1285" customWidth="1"/>
    <col min="4123" max="4123" width="13.453125" style="1285" customWidth="1"/>
    <col min="4124" max="4124" width="13.54296875" style="1285" customWidth="1"/>
    <col min="4125" max="4352" width="8.7265625" style="1285"/>
    <col min="4353" max="4353" width="6.54296875" style="1285" customWidth="1"/>
    <col min="4354" max="4354" width="48.54296875" style="1285" customWidth="1"/>
    <col min="4355" max="4355" width="9.54296875" style="1285" customWidth="1"/>
    <col min="4356" max="4356" width="27.7265625" style="1285" customWidth="1"/>
    <col min="4357" max="4357" width="11.54296875" style="1285" customWidth="1"/>
    <col min="4358" max="4358" width="11.453125" style="1285" customWidth="1"/>
    <col min="4359" max="4364" width="8.7265625" style="1285" customWidth="1"/>
    <col min="4365" max="4365" width="9.453125" style="1285" bestFit="1" customWidth="1"/>
    <col min="4366" max="4366" width="9.7265625" style="1285" customWidth="1"/>
    <col min="4367" max="4367" width="10" style="1285" customWidth="1"/>
    <col min="4368" max="4368" width="8.7265625" style="1285" customWidth="1"/>
    <col min="4369" max="4369" width="6.54296875" style="1285" bestFit="1" customWidth="1"/>
    <col min="4370" max="4370" width="9.7265625" style="1285" bestFit="1" customWidth="1"/>
    <col min="4371" max="4371" width="10.26953125" style="1285" customWidth="1"/>
    <col min="4372" max="4372" width="12.7265625" style="1285" customWidth="1"/>
    <col min="4373" max="4373" width="14" style="1285" customWidth="1"/>
    <col min="4374" max="4376" width="12.7265625" style="1285" customWidth="1"/>
    <col min="4377" max="4377" width="15.26953125" style="1285" customWidth="1"/>
    <col min="4378" max="4378" width="12.54296875" style="1285" customWidth="1"/>
    <col min="4379" max="4379" width="13.453125" style="1285" customWidth="1"/>
    <col min="4380" max="4380" width="13.54296875" style="1285" customWidth="1"/>
    <col min="4381" max="4608" width="8.7265625" style="1285"/>
    <col min="4609" max="4609" width="6.54296875" style="1285" customWidth="1"/>
    <col min="4610" max="4610" width="48.54296875" style="1285" customWidth="1"/>
    <col min="4611" max="4611" width="9.54296875" style="1285" customWidth="1"/>
    <col min="4612" max="4612" width="27.7265625" style="1285" customWidth="1"/>
    <col min="4613" max="4613" width="11.54296875" style="1285" customWidth="1"/>
    <col min="4614" max="4614" width="11.453125" style="1285" customWidth="1"/>
    <col min="4615" max="4620" width="8.7265625" style="1285" customWidth="1"/>
    <col min="4621" max="4621" width="9.453125" style="1285" bestFit="1" customWidth="1"/>
    <col min="4622" max="4622" width="9.7265625" style="1285" customWidth="1"/>
    <col min="4623" max="4623" width="10" style="1285" customWidth="1"/>
    <col min="4624" max="4624" width="8.7265625" style="1285" customWidth="1"/>
    <col min="4625" max="4625" width="6.54296875" style="1285" bestFit="1" customWidth="1"/>
    <col min="4626" max="4626" width="9.7265625" style="1285" bestFit="1" customWidth="1"/>
    <col min="4627" max="4627" width="10.26953125" style="1285" customWidth="1"/>
    <col min="4628" max="4628" width="12.7265625" style="1285" customWidth="1"/>
    <col min="4629" max="4629" width="14" style="1285" customWidth="1"/>
    <col min="4630" max="4632" width="12.7265625" style="1285" customWidth="1"/>
    <col min="4633" max="4633" width="15.26953125" style="1285" customWidth="1"/>
    <col min="4634" max="4634" width="12.54296875" style="1285" customWidth="1"/>
    <col min="4635" max="4635" width="13.453125" style="1285" customWidth="1"/>
    <col min="4636" max="4636" width="13.54296875" style="1285" customWidth="1"/>
    <col min="4637" max="4864" width="8.7265625" style="1285"/>
    <col min="4865" max="4865" width="6.54296875" style="1285" customWidth="1"/>
    <col min="4866" max="4866" width="48.54296875" style="1285" customWidth="1"/>
    <col min="4867" max="4867" width="9.54296875" style="1285" customWidth="1"/>
    <col min="4868" max="4868" width="27.7265625" style="1285" customWidth="1"/>
    <col min="4869" max="4869" width="11.54296875" style="1285" customWidth="1"/>
    <col min="4870" max="4870" width="11.453125" style="1285" customWidth="1"/>
    <col min="4871" max="4876" width="8.7265625" style="1285" customWidth="1"/>
    <col min="4877" max="4877" width="9.453125" style="1285" bestFit="1" customWidth="1"/>
    <col min="4878" max="4878" width="9.7265625" style="1285" customWidth="1"/>
    <col min="4879" max="4879" width="10" style="1285" customWidth="1"/>
    <col min="4880" max="4880" width="8.7265625" style="1285" customWidth="1"/>
    <col min="4881" max="4881" width="6.54296875" style="1285" bestFit="1" customWidth="1"/>
    <col min="4882" max="4882" width="9.7265625" style="1285" bestFit="1" customWidth="1"/>
    <col min="4883" max="4883" width="10.26953125" style="1285" customWidth="1"/>
    <col min="4884" max="4884" width="12.7265625" style="1285" customWidth="1"/>
    <col min="4885" max="4885" width="14" style="1285" customWidth="1"/>
    <col min="4886" max="4888" width="12.7265625" style="1285" customWidth="1"/>
    <col min="4889" max="4889" width="15.26953125" style="1285" customWidth="1"/>
    <col min="4890" max="4890" width="12.54296875" style="1285" customWidth="1"/>
    <col min="4891" max="4891" width="13.453125" style="1285" customWidth="1"/>
    <col min="4892" max="4892" width="13.54296875" style="1285" customWidth="1"/>
    <col min="4893" max="5120" width="8.7265625" style="1285"/>
    <col min="5121" max="5121" width="6.54296875" style="1285" customWidth="1"/>
    <col min="5122" max="5122" width="48.54296875" style="1285" customWidth="1"/>
    <col min="5123" max="5123" width="9.54296875" style="1285" customWidth="1"/>
    <col min="5124" max="5124" width="27.7265625" style="1285" customWidth="1"/>
    <col min="5125" max="5125" width="11.54296875" style="1285" customWidth="1"/>
    <col min="5126" max="5126" width="11.453125" style="1285" customWidth="1"/>
    <col min="5127" max="5132" width="8.7265625" style="1285" customWidth="1"/>
    <col min="5133" max="5133" width="9.453125" style="1285" bestFit="1" customWidth="1"/>
    <col min="5134" max="5134" width="9.7265625" style="1285" customWidth="1"/>
    <col min="5135" max="5135" width="10" style="1285" customWidth="1"/>
    <col min="5136" max="5136" width="8.7265625" style="1285" customWidth="1"/>
    <col min="5137" max="5137" width="6.54296875" style="1285" bestFit="1" customWidth="1"/>
    <col min="5138" max="5138" width="9.7265625" style="1285" bestFit="1" customWidth="1"/>
    <col min="5139" max="5139" width="10.26953125" style="1285" customWidth="1"/>
    <col min="5140" max="5140" width="12.7265625" style="1285" customWidth="1"/>
    <col min="5141" max="5141" width="14" style="1285" customWidth="1"/>
    <col min="5142" max="5144" width="12.7265625" style="1285" customWidth="1"/>
    <col min="5145" max="5145" width="15.26953125" style="1285" customWidth="1"/>
    <col min="5146" max="5146" width="12.54296875" style="1285" customWidth="1"/>
    <col min="5147" max="5147" width="13.453125" style="1285" customWidth="1"/>
    <col min="5148" max="5148" width="13.54296875" style="1285" customWidth="1"/>
    <col min="5149" max="5376" width="8.7265625" style="1285"/>
    <col min="5377" max="5377" width="6.54296875" style="1285" customWidth="1"/>
    <col min="5378" max="5378" width="48.54296875" style="1285" customWidth="1"/>
    <col min="5379" max="5379" width="9.54296875" style="1285" customWidth="1"/>
    <col min="5380" max="5380" width="27.7265625" style="1285" customWidth="1"/>
    <col min="5381" max="5381" width="11.54296875" style="1285" customWidth="1"/>
    <col min="5382" max="5382" width="11.453125" style="1285" customWidth="1"/>
    <col min="5383" max="5388" width="8.7265625" style="1285" customWidth="1"/>
    <col min="5389" max="5389" width="9.453125" style="1285" bestFit="1" customWidth="1"/>
    <col min="5390" max="5390" width="9.7265625" style="1285" customWidth="1"/>
    <col min="5391" max="5391" width="10" style="1285" customWidth="1"/>
    <col min="5392" max="5392" width="8.7265625" style="1285" customWidth="1"/>
    <col min="5393" max="5393" width="6.54296875" style="1285" bestFit="1" customWidth="1"/>
    <col min="5394" max="5394" width="9.7265625" style="1285" bestFit="1" customWidth="1"/>
    <col min="5395" max="5395" width="10.26953125" style="1285" customWidth="1"/>
    <col min="5396" max="5396" width="12.7265625" style="1285" customWidth="1"/>
    <col min="5397" max="5397" width="14" style="1285" customWidth="1"/>
    <col min="5398" max="5400" width="12.7265625" style="1285" customWidth="1"/>
    <col min="5401" max="5401" width="15.26953125" style="1285" customWidth="1"/>
    <col min="5402" max="5402" width="12.54296875" style="1285" customWidth="1"/>
    <col min="5403" max="5403" width="13.453125" style="1285" customWidth="1"/>
    <col min="5404" max="5404" width="13.54296875" style="1285" customWidth="1"/>
    <col min="5405" max="5632" width="8.7265625" style="1285"/>
    <col min="5633" max="5633" width="6.54296875" style="1285" customWidth="1"/>
    <col min="5634" max="5634" width="48.54296875" style="1285" customWidth="1"/>
    <col min="5635" max="5635" width="9.54296875" style="1285" customWidth="1"/>
    <col min="5636" max="5636" width="27.7265625" style="1285" customWidth="1"/>
    <col min="5637" max="5637" width="11.54296875" style="1285" customWidth="1"/>
    <col min="5638" max="5638" width="11.453125" style="1285" customWidth="1"/>
    <col min="5639" max="5644" width="8.7265625" style="1285" customWidth="1"/>
    <col min="5645" max="5645" width="9.453125" style="1285" bestFit="1" customWidth="1"/>
    <col min="5646" max="5646" width="9.7265625" style="1285" customWidth="1"/>
    <col min="5647" max="5647" width="10" style="1285" customWidth="1"/>
    <col min="5648" max="5648" width="8.7265625" style="1285" customWidth="1"/>
    <col min="5649" max="5649" width="6.54296875" style="1285" bestFit="1" customWidth="1"/>
    <col min="5650" max="5650" width="9.7265625" style="1285" bestFit="1" customWidth="1"/>
    <col min="5651" max="5651" width="10.26953125" style="1285" customWidth="1"/>
    <col min="5652" max="5652" width="12.7265625" style="1285" customWidth="1"/>
    <col min="5653" max="5653" width="14" style="1285" customWidth="1"/>
    <col min="5654" max="5656" width="12.7265625" style="1285" customWidth="1"/>
    <col min="5657" max="5657" width="15.26953125" style="1285" customWidth="1"/>
    <col min="5658" max="5658" width="12.54296875" style="1285" customWidth="1"/>
    <col min="5659" max="5659" width="13.453125" style="1285" customWidth="1"/>
    <col min="5660" max="5660" width="13.54296875" style="1285" customWidth="1"/>
    <col min="5661" max="5888" width="8.7265625" style="1285"/>
    <col min="5889" max="5889" width="6.54296875" style="1285" customWidth="1"/>
    <col min="5890" max="5890" width="48.54296875" style="1285" customWidth="1"/>
    <col min="5891" max="5891" width="9.54296875" style="1285" customWidth="1"/>
    <col min="5892" max="5892" width="27.7265625" style="1285" customWidth="1"/>
    <col min="5893" max="5893" width="11.54296875" style="1285" customWidth="1"/>
    <col min="5894" max="5894" width="11.453125" style="1285" customWidth="1"/>
    <col min="5895" max="5900" width="8.7265625" style="1285" customWidth="1"/>
    <col min="5901" max="5901" width="9.453125" style="1285" bestFit="1" customWidth="1"/>
    <col min="5902" max="5902" width="9.7265625" style="1285" customWidth="1"/>
    <col min="5903" max="5903" width="10" style="1285" customWidth="1"/>
    <col min="5904" max="5904" width="8.7265625" style="1285" customWidth="1"/>
    <col min="5905" max="5905" width="6.54296875" style="1285" bestFit="1" customWidth="1"/>
    <col min="5906" max="5906" width="9.7265625" style="1285" bestFit="1" customWidth="1"/>
    <col min="5907" max="5907" width="10.26953125" style="1285" customWidth="1"/>
    <col min="5908" max="5908" width="12.7265625" style="1285" customWidth="1"/>
    <col min="5909" max="5909" width="14" style="1285" customWidth="1"/>
    <col min="5910" max="5912" width="12.7265625" style="1285" customWidth="1"/>
    <col min="5913" max="5913" width="15.26953125" style="1285" customWidth="1"/>
    <col min="5914" max="5914" width="12.54296875" style="1285" customWidth="1"/>
    <col min="5915" max="5915" width="13.453125" style="1285" customWidth="1"/>
    <col min="5916" max="5916" width="13.54296875" style="1285" customWidth="1"/>
    <col min="5917" max="6144" width="8.7265625" style="1285"/>
    <col min="6145" max="6145" width="6.54296875" style="1285" customWidth="1"/>
    <col min="6146" max="6146" width="48.54296875" style="1285" customWidth="1"/>
    <col min="6147" max="6147" width="9.54296875" style="1285" customWidth="1"/>
    <col min="6148" max="6148" width="27.7265625" style="1285" customWidth="1"/>
    <col min="6149" max="6149" width="11.54296875" style="1285" customWidth="1"/>
    <col min="6150" max="6150" width="11.453125" style="1285" customWidth="1"/>
    <col min="6151" max="6156" width="8.7265625" style="1285" customWidth="1"/>
    <col min="6157" max="6157" width="9.453125" style="1285" bestFit="1" customWidth="1"/>
    <col min="6158" max="6158" width="9.7265625" style="1285" customWidth="1"/>
    <col min="6159" max="6159" width="10" style="1285" customWidth="1"/>
    <col min="6160" max="6160" width="8.7265625" style="1285" customWidth="1"/>
    <col min="6161" max="6161" width="6.54296875" style="1285" bestFit="1" customWidth="1"/>
    <col min="6162" max="6162" width="9.7265625" style="1285" bestFit="1" customWidth="1"/>
    <col min="6163" max="6163" width="10.26953125" style="1285" customWidth="1"/>
    <col min="6164" max="6164" width="12.7265625" style="1285" customWidth="1"/>
    <col min="6165" max="6165" width="14" style="1285" customWidth="1"/>
    <col min="6166" max="6168" width="12.7265625" style="1285" customWidth="1"/>
    <col min="6169" max="6169" width="15.26953125" style="1285" customWidth="1"/>
    <col min="6170" max="6170" width="12.54296875" style="1285" customWidth="1"/>
    <col min="6171" max="6171" width="13.453125" style="1285" customWidth="1"/>
    <col min="6172" max="6172" width="13.54296875" style="1285" customWidth="1"/>
    <col min="6173" max="6400" width="8.7265625" style="1285"/>
    <col min="6401" max="6401" width="6.54296875" style="1285" customWidth="1"/>
    <col min="6402" max="6402" width="48.54296875" style="1285" customWidth="1"/>
    <col min="6403" max="6403" width="9.54296875" style="1285" customWidth="1"/>
    <col min="6404" max="6404" width="27.7265625" style="1285" customWidth="1"/>
    <col min="6405" max="6405" width="11.54296875" style="1285" customWidth="1"/>
    <col min="6406" max="6406" width="11.453125" style="1285" customWidth="1"/>
    <col min="6407" max="6412" width="8.7265625" style="1285" customWidth="1"/>
    <col min="6413" max="6413" width="9.453125" style="1285" bestFit="1" customWidth="1"/>
    <col min="6414" max="6414" width="9.7265625" style="1285" customWidth="1"/>
    <col min="6415" max="6415" width="10" style="1285" customWidth="1"/>
    <col min="6416" max="6416" width="8.7265625" style="1285" customWidth="1"/>
    <col min="6417" max="6417" width="6.54296875" style="1285" bestFit="1" customWidth="1"/>
    <col min="6418" max="6418" width="9.7265625" style="1285" bestFit="1" customWidth="1"/>
    <col min="6419" max="6419" width="10.26953125" style="1285" customWidth="1"/>
    <col min="6420" max="6420" width="12.7265625" style="1285" customWidth="1"/>
    <col min="6421" max="6421" width="14" style="1285" customWidth="1"/>
    <col min="6422" max="6424" width="12.7265625" style="1285" customWidth="1"/>
    <col min="6425" max="6425" width="15.26953125" style="1285" customWidth="1"/>
    <col min="6426" max="6426" width="12.54296875" style="1285" customWidth="1"/>
    <col min="6427" max="6427" width="13.453125" style="1285" customWidth="1"/>
    <col min="6428" max="6428" width="13.54296875" style="1285" customWidth="1"/>
    <col min="6429" max="6656" width="8.7265625" style="1285"/>
    <col min="6657" max="6657" width="6.54296875" style="1285" customWidth="1"/>
    <col min="6658" max="6658" width="48.54296875" style="1285" customWidth="1"/>
    <col min="6659" max="6659" width="9.54296875" style="1285" customWidth="1"/>
    <col min="6660" max="6660" width="27.7265625" style="1285" customWidth="1"/>
    <col min="6661" max="6661" width="11.54296875" style="1285" customWidth="1"/>
    <col min="6662" max="6662" width="11.453125" style="1285" customWidth="1"/>
    <col min="6663" max="6668" width="8.7265625" style="1285" customWidth="1"/>
    <col min="6669" max="6669" width="9.453125" style="1285" bestFit="1" customWidth="1"/>
    <col min="6670" max="6670" width="9.7265625" style="1285" customWidth="1"/>
    <col min="6671" max="6671" width="10" style="1285" customWidth="1"/>
    <col min="6672" max="6672" width="8.7265625" style="1285" customWidth="1"/>
    <col min="6673" max="6673" width="6.54296875" style="1285" bestFit="1" customWidth="1"/>
    <col min="6674" max="6674" width="9.7265625" style="1285" bestFit="1" customWidth="1"/>
    <col min="6675" max="6675" width="10.26953125" style="1285" customWidth="1"/>
    <col min="6676" max="6676" width="12.7265625" style="1285" customWidth="1"/>
    <col min="6677" max="6677" width="14" style="1285" customWidth="1"/>
    <col min="6678" max="6680" width="12.7265625" style="1285" customWidth="1"/>
    <col min="6681" max="6681" width="15.26953125" style="1285" customWidth="1"/>
    <col min="6682" max="6682" width="12.54296875" style="1285" customWidth="1"/>
    <col min="6683" max="6683" width="13.453125" style="1285" customWidth="1"/>
    <col min="6684" max="6684" width="13.54296875" style="1285" customWidth="1"/>
    <col min="6685" max="6912" width="8.7265625" style="1285"/>
    <col min="6913" max="6913" width="6.54296875" style="1285" customWidth="1"/>
    <col min="6914" max="6914" width="48.54296875" style="1285" customWidth="1"/>
    <col min="6915" max="6915" width="9.54296875" style="1285" customWidth="1"/>
    <col min="6916" max="6916" width="27.7265625" style="1285" customWidth="1"/>
    <col min="6917" max="6917" width="11.54296875" style="1285" customWidth="1"/>
    <col min="6918" max="6918" width="11.453125" style="1285" customWidth="1"/>
    <col min="6919" max="6924" width="8.7265625" style="1285" customWidth="1"/>
    <col min="6925" max="6925" width="9.453125" style="1285" bestFit="1" customWidth="1"/>
    <col min="6926" max="6926" width="9.7265625" style="1285" customWidth="1"/>
    <col min="6927" max="6927" width="10" style="1285" customWidth="1"/>
    <col min="6928" max="6928" width="8.7265625" style="1285" customWidth="1"/>
    <col min="6929" max="6929" width="6.54296875" style="1285" bestFit="1" customWidth="1"/>
    <col min="6930" max="6930" width="9.7265625" style="1285" bestFit="1" customWidth="1"/>
    <col min="6931" max="6931" width="10.26953125" style="1285" customWidth="1"/>
    <col min="6932" max="6932" width="12.7265625" style="1285" customWidth="1"/>
    <col min="6933" max="6933" width="14" style="1285" customWidth="1"/>
    <col min="6934" max="6936" width="12.7265625" style="1285" customWidth="1"/>
    <col min="6937" max="6937" width="15.26953125" style="1285" customWidth="1"/>
    <col min="6938" max="6938" width="12.54296875" style="1285" customWidth="1"/>
    <col min="6939" max="6939" width="13.453125" style="1285" customWidth="1"/>
    <col min="6940" max="6940" width="13.54296875" style="1285" customWidth="1"/>
    <col min="6941" max="7168" width="8.7265625" style="1285"/>
    <col min="7169" max="7169" width="6.54296875" style="1285" customWidth="1"/>
    <col min="7170" max="7170" width="48.54296875" style="1285" customWidth="1"/>
    <col min="7171" max="7171" width="9.54296875" style="1285" customWidth="1"/>
    <col min="7172" max="7172" width="27.7265625" style="1285" customWidth="1"/>
    <col min="7173" max="7173" width="11.54296875" style="1285" customWidth="1"/>
    <col min="7174" max="7174" width="11.453125" style="1285" customWidth="1"/>
    <col min="7175" max="7180" width="8.7265625" style="1285" customWidth="1"/>
    <col min="7181" max="7181" width="9.453125" style="1285" bestFit="1" customWidth="1"/>
    <col min="7182" max="7182" width="9.7265625" style="1285" customWidth="1"/>
    <col min="7183" max="7183" width="10" style="1285" customWidth="1"/>
    <col min="7184" max="7184" width="8.7265625" style="1285" customWidth="1"/>
    <col min="7185" max="7185" width="6.54296875" style="1285" bestFit="1" customWidth="1"/>
    <col min="7186" max="7186" width="9.7265625" style="1285" bestFit="1" customWidth="1"/>
    <col min="7187" max="7187" width="10.26953125" style="1285" customWidth="1"/>
    <col min="7188" max="7188" width="12.7265625" style="1285" customWidth="1"/>
    <col min="7189" max="7189" width="14" style="1285" customWidth="1"/>
    <col min="7190" max="7192" width="12.7265625" style="1285" customWidth="1"/>
    <col min="7193" max="7193" width="15.26953125" style="1285" customWidth="1"/>
    <col min="7194" max="7194" width="12.54296875" style="1285" customWidth="1"/>
    <col min="7195" max="7195" width="13.453125" style="1285" customWidth="1"/>
    <col min="7196" max="7196" width="13.54296875" style="1285" customWidth="1"/>
    <col min="7197" max="7424" width="8.7265625" style="1285"/>
    <col min="7425" max="7425" width="6.54296875" style="1285" customWidth="1"/>
    <col min="7426" max="7426" width="48.54296875" style="1285" customWidth="1"/>
    <col min="7427" max="7427" width="9.54296875" style="1285" customWidth="1"/>
    <col min="7428" max="7428" width="27.7265625" style="1285" customWidth="1"/>
    <col min="7429" max="7429" width="11.54296875" style="1285" customWidth="1"/>
    <col min="7430" max="7430" width="11.453125" style="1285" customWidth="1"/>
    <col min="7431" max="7436" width="8.7265625" style="1285" customWidth="1"/>
    <col min="7437" max="7437" width="9.453125" style="1285" bestFit="1" customWidth="1"/>
    <col min="7438" max="7438" width="9.7265625" style="1285" customWidth="1"/>
    <col min="7439" max="7439" width="10" style="1285" customWidth="1"/>
    <col min="7440" max="7440" width="8.7265625" style="1285" customWidth="1"/>
    <col min="7441" max="7441" width="6.54296875" style="1285" bestFit="1" customWidth="1"/>
    <col min="7442" max="7442" width="9.7265625" style="1285" bestFit="1" customWidth="1"/>
    <col min="7443" max="7443" width="10.26953125" style="1285" customWidth="1"/>
    <col min="7444" max="7444" width="12.7265625" style="1285" customWidth="1"/>
    <col min="7445" max="7445" width="14" style="1285" customWidth="1"/>
    <col min="7446" max="7448" width="12.7265625" style="1285" customWidth="1"/>
    <col min="7449" max="7449" width="15.26953125" style="1285" customWidth="1"/>
    <col min="7450" max="7450" width="12.54296875" style="1285" customWidth="1"/>
    <col min="7451" max="7451" width="13.453125" style="1285" customWidth="1"/>
    <col min="7452" max="7452" width="13.54296875" style="1285" customWidth="1"/>
    <col min="7453" max="7680" width="8.7265625" style="1285"/>
    <col min="7681" max="7681" width="6.54296875" style="1285" customWidth="1"/>
    <col min="7682" max="7682" width="48.54296875" style="1285" customWidth="1"/>
    <col min="7683" max="7683" width="9.54296875" style="1285" customWidth="1"/>
    <col min="7684" max="7684" width="27.7265625" style="1285" customWidth="1"/>
    <col min="7685" max="7685" width="11.54296875" style="1285" customWidth="1"/>
    <col min="7686" max="7686" width="11.453125" style="1285" customWidth="1"/>
    <col min="7687" max="7692" width="8.7265625" style="1285" customWidth="1"/>
    <col min="7693" max="7693" width="9.453125" style="1285" bestFit="1" customWidth="1"/>
    <col min="7694" max="7694" width="9.7265625" style="1285" customWidth="1"/>
    <col min="7695" max="7695" width="10" style="1285" customWidth="1"/>
    <col min="7696" max="7696" width="8.7265625" style="1285" customWidth="1"/>
    <col min="7697" max="7697" width="6.54296875" style="1285" bestFit="1" customWidth="1"/>
    <col min="7698" max="7698" width="9.7265625" style="1285" bestFit="1" customWidth="1"/>
    <col min="7699" max="7699" width="10.26953125" style="1285" customWidth="1"/>
    <col min="7700" max="7700" width="12.7265625" style="1285" customWidth="1"/>
    <col min="7701" max="7701" width="14" style="1285" customWidth="1"/>
    <col min="7702" max="7704" width="12.7265625" style="1285" customWidth="1"/>
    <col min="7705" max="7705" width="15.26953125" style="1285" customWidth="1"/>
    <col min="7706" max="7706" width="12.54296875" style="1285" customWidth="1"/>
    <col min="7707" max="7707" width="13.453125" style="1285" customWidth="1"/>
    <col min="7708" max="7708" width="13.54296875" style="1285" customWidth="1"/>
    <col min="7709" max="7936" width="8.7265625" style="1285"/>
    <col min="7937" max="7937" width="6.54296875" style="1285" customWidth="1"/>
    <col min="7938" max="7938" width="48.54296875" style="1285" customWidth="1"/>
    <col min="7939" max="7939" width="9.54296875" style="1285" customWidth="1"/>
    <col min="7940" max="7940" width="27.7265625" style="1285" customWidth="1"/>
    <col min="7941" max="7941" width="11.54296875" style="1285" customWidth="1"/>
    <col min="7942" max="7942" width="11.453125" style="1285" customWidth="1"/>
    <col min="7943" max="7948" width="8.7265625" style="1285" customWidth="1"/>
    <col min="7949" max="7949" width="9.453125" style="1285" bestFit="1" customWidth="1"/>
    <col min="7950" max="7950" width="9.7265625" style="1285" customWidth="1"/>
    <col min="7951" max="7951" width="10" style="1285" customWidth="1"/>
    <col min="7952" max="7952" width="8.7265625" style="1285" customWidth="1"/>
    <col min="7953" max="7953" width="6.54296875" style="1285" bestFit="1" customWidth="1"/>
    <col min="7954" max="7954" width="9.7265625" style="1285" bestFit="1" customWidth="1"/>
    <col min="7955" max="7955" width="10.26953125" style="1285" customWidth="1"/>
    <col min="7956" max="7956" width="12.7265625" style="1285" customWidth="1"/>
    <col min="7957" max="7957" width="14" style="1285" customWidth="1"/>
    <col min="7958" max="7960" width="12.7265625" style="1285" customWidth="1"/>
    <col min="7961" max="7961" width="15.26953125" style="1285" customWidth="1"/>
    <col min="7962" max="7962" width="12.54296875" style="1285" customWidth="1"/>
    <col min="7963" max="7963" width="13.453125" style="1285" customWidth="1"/>
    <col min="7964" max="7964" width="13.54296875" style="1285" customWidth="1"/>
    <col min="7965" max="8192" width="8.7265625" style="1285"/>
    <col min="8193" max="8193" width="6.54296875" style="1285" customWidth="1"/>
    <col min="8194" max="8194" width="48.54296875" style="1285" customWidth="1"/>
    <col min="8195" max="8195" width="9.54296875" style="1285" customWidth="1"/>
    <col min="8196" max="8196" width="27.7265625" style="1285" customWidth="1"/>
    <col min="8197" max="8197" width="11.54296875" style="1285" customWidth="1"/>
    <col min="8198" max="8198" width="11.453125" style="1285" customWidth="1"/>
    <col min="8199" max="8204" width="8.7265625" style="1285" customWidth="1"/>
    <col min="8205" max="8205" width="9.453125" style="1285" bestFit="1" customWidth="1"/>
    <col min="8206" max="8206" width="9.7265625" style="1285" customWidth="1"/>
    <col min="8207" max="8207" width="10" style="1285" customWidth="1"/>
    <col min="8208" max="8208" width="8.7265625" style="1285" customWidth="1"/>
    <col min="8209" max="8209" width="6.54296875" style="1285" bestFit="1" customWidth="1"/>
    <col min="8210" max="8210" width="9.7265625" style="1285" bestFit="1" customWidth="1"/>
    <col min="8211" max="8211" width="10.26953125" style="1285" customWidth="1"/>
    <col min="8212" max="8212" width="12.7265625" style="1285" customWidth="1"/>
    <col min="8213" max="8213" width="14" style="1285" customWidth="1"/>
    <col min="8214" max="8216" width="12.7265625" style="1285" customWidth="1"/>
    <col min="8217" max="8217" width="15.26953125" style="1285" customWidth="1"/>
    <col min="8218" max="8218" width="12.54296875" style="1285" customWidth="1"/>
    <col min="8219" max="8219" width="13.453125" style="1285" customWidth="1"/>
    <col min="8220" max="8220" width="13.54296875" style="1285" customWidth="1"/>
    <col min="8221" max="8448" width="8.7265625" style="1285"/>
    <col min="8449" max="8449" width="6.54296875" style="1285" customWidth="1"/>
    <col min="8450" max="8450" width="48.54296875" style="1285" customWidth="1"/>
    <col min="8451" max="8451" width="9.54296875" style="1285" customWidth="1"/>
    <col min="8452" max="8452" width="27.7265625" style="1285" customWidth="1"/>
    <col min="8453" max="8453" width="11.54296875" style="1285" customWidth="1"/>
    <col min="8454" max="8454" width="11.453125" style="1285" customWidth="1"/>
    <col min="8455" max="8460" width="8.7265625" style="1285" customWidth="1"/>
    <col min="8461" max="8461" width="9.453125" style="1285" bestFit="1" customWidth="1"/>
    <col min="8462" max="8462" width="9.7265625" style="1285" customWidth="1"/>
    <col min="8463" max="8463" width="10" style="1285" customWidth="1"/>
    <col min="8464" max="8464" width="8.7265625" style="1285" customWidth="1"/>
    <col min="8465" max="8465" width="6.54296875" style="1285" bestFit="1" customWidth="1"/>
    <col min="8466" max="8466" width="9.7265625" style="1285" bestFit="1" customWidth="1"/>
    <col min="8467" max="8467" width="10.26953125" style="1285" customWidth="1"/>
    <col min="8468" max="8468" width="12.7265625" style="1285" customWidth="1"/>
    <col min="8469" max="8469" width="14" style="1285" customWidth="1"/>
    <col min="8470" max="8472" width="12.7265625" style="1285" customWidth="1"/>
    <col min="8473" max="8473" width="15.26953125" style="1285" customWidth="1"/>
    <col min="8474" max="8474" width="12.54296875" style="1285" customWidth="1"/>
    <col min="8475" max="8475" width="13.453125" style="1285" customWidth="1"/>
    <col min="8476" max="8476" width="13.54296875" style="1285" customWidth="1"/>
    <col min="8477" max="8704" width="8.7265625" style="1285"/>
    <col min="8705" max="8705" width="6.54296875" style="1285" customWidth="1"/>
    <col min="8706" max="8706" width="48.54296875" style="1285" customWidth="1"/>
    <col min="8707" max="8707" width="9.54296875" style="1285" customWidth="1"/>
    <col min="8708" max="8708" width="27.7265625" style="1285" customWidth="1"/>
    <col min="8709" max="8709" width="11.54296875" style="1285" customWidth="1"/>
    <col min="8710" max="8710" width="11.453125" style="1285" customWidth="1"/>
    <col min="8711" max="8716" width="8.7265625" style="1285" customWidth="1"/>
    <col min="8717" max="8717" width="9.453125" style="1285" bestFit="1" customWidth="1"/>
    <col min="8718" max="8718" width="9.7265625" style="1285" customWidth="1"/>
    <col min="8719" max="8719" width="10" style="1285" customWidth="1"/>
    <col min="8720" max="8720" width="8.7265625" style="1285" customWidth="1"/>
    <col min="8721" max="8721" width="6.54296875" style="1285" bestFit="1" customWidth="1"/>
    <col min="8722" max="8722" width="9.7265625" style="1285" bestFit="1" customWidth="1"/>
    <col min="8723" max="8723" width="10.26953125" style="1285" customWidth="1"/>
    <col min="8724" max="8724" width="12.7265625" style="1285" customWidth="1"/>
    <col min="8725" max="8725" width="14" style="1285" customWidth="1"/>
    <col min="8726" max="8728" width="12.7265625" style="1285" customWidth="1"/>
    <col min="8729" max="8729" width="15.26953125" style="1285" customWidth="1"/>
    <col min="8730" max="8730" width="12.54296875" style="1285" customWidth="1"/>
    <col min="8731" max="8731" width="13.453125" style="1285" customWidth="1"/>
    <col min="8732" max="8732" width="13.54296875" style="1285" customWidth="1"/>
    <col min="8733" max="8960" width="8.7265625" style="1285"/>
    <col min="8961" max="8961" width="6.54296875" style="1285" customWidth="1"/>
    <col min="8962" max="8962" width="48.54296875" style="1285" customWidth="1"/>
    <col min="8963" max="8963" width="9.54296875" style="1285" customWidth="1"/>
    <col min="8964" max="8964" width="27.7265625" style="1285" customWidth="1"/>
    <col min="8965" max="8965" width="11.54296875" style="1285" customWidth="1"/>
    <col min="8966" max="8966" width="11.453125" style="1285" customWidth="1"/>
    <col min="8967" max="8972" width="8.7265625" style="1285" customWidth="1"/>
    <col min="8973" max="8973" width="9.453125" style="1285" bestFit="1" customWidth="1"/>
    <col min="8974" max="8974" width="9.7265625" style="1285" customWidth="1"/>
    <col min="8975" max="8975" width="10" style="1285" customWidth="1"/>
    <col min="8976" max="8976" width="8.7265625" style="1285" customWidth="1"/>
    <col min="8977" max="8977" width="6.54296875" style="1285" bestFit="1" customWidth="1"/>
    <col min="8978" max="8978" width="9.7265625" style="1285" bestFit="1" customWidth="1"/>
    <col min="8979" max="8979" width="10.26953125" style="1285" customWidth="1"/>
    <col min="8980" max="8980" width="12.7265625" style="1285" customWidth="1"/>
    <col min="8981" max="8981" width="14" style="1285" customWidth="1"/>
    <col min="8982" max="8984" width="12.7265625" style="1285" customWidth="1"/>
    <col min="8985" max="8985" width="15.26953125" style="1285" customWidth="1"/>
    <col min="8986" max="8986" width="12.54296875" style="1285" customWidth="1"/>
    <col min="8987" max="8987" width="13.453125" style="1285" customWidth="1"/>
    <col min="8988" max="8988" width="13.54296875" style="1285" customWidth="1"/>
    <col min="8989" max="9216" width="8.7265625" style="1285"/>
    <col min="9217" max="9217" width="6.54296875" style="1285" customWidth="1"/>
    <col min="9218" max="9218" width="48.54296875" style="1285" customWidth="1"/>
    <col min="9219" max="9219" width="9.54296875" style="1285" customWidth="1"/>
    <col min="9220" max="9220" width="27.7265625" style="1285" customWidth="1"/>
    <col min="9221" max="9221" width="11.54296875" style="1285" customWidth="1"/>
    <col min="9222" max="9222" width="11.453125" style="1285" customWidth="1"/>
    <col min="9223" max="9228" width="8.7265625" style="1285" customWidth="1"/>
    <col min="9229" max="9229" width="9.453125" style="1285" bestFit="1" customWidth="1"/>
    <col min="9230" max="9230" width="9.7265625" style="1285" customWidth="1"/>
    <col min="9231" max="9231" width="10" style="1285" customWidth="1"/>
    <col min="9232" max="9232" width="8.7265625" style="1285" customWidth="1"/>
    <col min="9233" max="9233" width="6.54296875" style="1285" bestFit="1" customWidth="1"/>
    <col min="9234" max="9234" width="9.7265625" style="1285" bestFit="1" customWidth="1"/>
    <col min="9235" max="9235" width="10.26953125" style="1285" customWidth="1"/>
    <col min="9236" max="9236" width="12.7265625" style="1285" customWidth="1"/>
    <col min="9237" max="9237" width="14" style="1285" customWidth="1"/>
    <col min="9238" max="9240" width="12.7265625" style="1285" customWidth="1"/>
    <col min="9241" max="9241" width="15.26953125" style="1285" customWidth="1"/>
    <col min="9242" max="9242" width="12.54296875" style="1285" customWidth="1"/>
    <col min="9243" max="9243" width="13.453125" style="1285" customWidth="1"/>
    <col min="9244" max="9244" width="13.54296875" style="1285" customWidth="1"/>
    <col min="9245" max="9472" width="8.7265625" style="1285"/>
    <col min="9473" max="9473" width="6.54296875" style="1285" customWidth="1"/>
    <col min="9474" max="9474" width="48.54296875" style="1285" customWidth="1"/>
    <col min="9475" max="9475" width="9.54296875" style="1285" customWidth="1"/>
    <col min="9476" max="9476" width="27.7265625" style="1285" customWidth="1"/>
    <col min="9477" max="9477" width="11.54296875" style="1285" customWidth="1"/>
    <col min="9478" max="9478" width="11.453125" style="1285" customWidth="1"/>
    <col min="9479" max="9484" width="8.7265625" style="1285" customWidth="1"/>
    <col min="9485" max="9485" width="9.453125" style="1285" bestFit="1" customWidth="1"/>
    <col min="9486" max="9486" width="9.7265625" style="1285" customWidth="1"/>
    <col min="9487" max="9487" width="10" style="1285" customWidth="1"/>
    <col min="9488" max="9488" width="8.7265625" style="1285" customWidth="1"/>
    <col min="9489" max="9489" width="6.54296875" style="1285" bestFit="1" customWidth="1"/>
    <col min="9490" max="9490" width="9.7265625" style="1285" bestFit="1" customWidth="1"/>
    <col min="9491" max="9491" width="10.26953125" style="1285" customWidth="1"/>
    <col min="9492" max="9492" width="12.7265625" style="1285" customWidth="1"/>
    <col min="9493" max="9493" width="14" style="1285" customWidth="1"/>
    <col min="9494" max="9496" width="12.7265625" style="1285" customWidth="1"/>
    <col min="9497" max="9497" width="15.26953125" style="1285" customWidth="1"/>
    <col min="9498" max="9498" width="12.54296875" style="1285" customWidth="1"/>
    <col min="9499" max="9499" width="13.453125" style="1285" customWidth="1"/>
    <col min="9500" max="9500" width="13.54296875" style="1285" customWidth="1"/>
    <col min="9501" max="9728" width="8.7265625" style="1285"/>
    <col min="9729" max="9729" width="6.54296875" style="1285" customWidth="1"/>
    <col min="9730" max="9730" width="48.54296875" style="1285" customWidth="1"/>
    <col min="9731" max="9731" width="9.54296875" style="1285" customWidth="1"/>
    <col min="9732" max="9732" width="27.7265625" style="1285" customWidth="1"/>
    <col min="9733" max="9733" width="11.54296875" style="1285" customWidth="1"/>
    <col min="9734" max="9734" width="11.453125" style="1285" customWidth="1"/>
    <col min="9735" max="9740" width="8.7265625" style="1285" customWidth="1"/>
    <col min="9741" max="9741" width="9.453125" style="1285" bestFit="1" customWidth="1"/>
    <col min="9742" max="9742" width="9.7265625" style="1285" customWidth="1"/>
    <col min="9743" max="9743" width="10" style="1285" customWidth="1"/>
    <col min="9744" max="9744" width="8.7265625" style="1285" customWidth="1"/>
    <col min="9745" max="9745" width="6.54296875" style="1285" bestFit="1" customWidth="1"/>
    <col min="9746" max="9746" width="9.7265625" style="1285" bestFit="1" customWidth="1"/>
    <col min="9747" max="9747" width="10.26953125" style="1285" customWidth="1"/>
    <col min="9748" max="9748" width="12.7265625" style="1285" customWidth="1"/>
    <col min="9749" max="9749" width="14" style="1285" customWidth="1"/>
    <col min="9750" max="9752" width="12.7265625" style="1285" customWidth="1"/>
    <col min="9753" max="9753" width="15.26953125" style="1285" customWidth="1"/>
    <col min="9754" max="9754" width="12.54296875" style="1285" customWidth="1"/>
    <col min="9755" max="9755" width="13.453125" style="1285" customWidth="1"/>
    <col min="9756" max="9756" width="13.54296875" style="1285" customWidth="1"/>
    <col min="9757" max="9984" width="8.7265625" style="1285"/>
    <col min="9985" max="9985" width="6.54296875" style="1285" customWidth="1"/>
    <col min="9986" max="9986" width="48.54296875" style="1285" customWidth="1"/>
    <col min="9987" max="9987" width="9.54296875" style="1285" customWidth="1"/>
    <col min="9988" max="9988" width="27.7265625" style="1285" customWidth="1"/>
    <col min="9989" max="9989" width="11.54296875" style="1285" customWidth="1"/>
    <col min="9990" max="9990" width="11.453125" style="1285" customWidth="1"/>
    <col min="9991" max="9996" width="8.7265625" style="1285" customWidth="1"/>
    <col min="9997" max="9997" width="9.453125" style="1285" bestFit="1" customWidth="1"/>
    <col min="9998" max="9998" width="9.7265625" style="1285" customWidth="1"/>
    <col min="9999" max="9999" width="10" style="1285" customWidth="1"/>
    <col min="10000" max="10000" width="8.7265625" style="1285" customWidth="1"/>
    <col min="10001" max="10001" width="6.54296875" style="1285" bestFit="1" customWidth="1"/>
    <col min="10002" max="10002" width="9.7265625" style="1285" bestFit="1" customWidth="1"/>
    <col min="10003" max="10003" width="10.26953125" style="1285" customWidth="1"/>
    <col min="10004" max="10004" width="12.7265625" style="1285" customWidth="1"/>
    <col min="10005" max="10005" width="14" style="1285" customWidth="1"/>
    <col min="10006" max="10008" width="12.7265625" style="1285" customWidth="1"/>
    <col min="10009" max="10009" width="15.26953125" style="1285" customWidth="1"/>
    <col min="10010" max="10010" width="12.54296875" style="1285" customWidth="1"/>
    <col min="10011" max="10011" width="13.453125" style="1285" customWidth="1"/>
    <col min="10012" max="10012" width="13.54296875" style="1285" customWidth="1"/>
    <col min="10013" max="10240" width="8.7265625" style="1285"/>
    <col min="10241" max="10241" width="6.54296875" style="1285" customWidth="1"/>
    <col min="10242" max="10242" width="48.54296875" style="1285" customWidth="1"/>
    <col min="10243" max="10243" width="9.54296875" style="1285" customWidth="1"/>
    <col min="10244" max="10244" width="27.7265625" style="1285" customWidth="1"/>
    <col min="10245" max="10245" width="11.54296875" style="1285" customWidth="1"/>
    <col min="10246" max="10246" width="11.453125" style="1285" customWidth="1"/>
    <col min="10247" max="10252" width="8.7265625" style="1285" customWidth="1"/>
    <col min="10253" max="10253" width="9.453125" style="1285" bestFit="1" customWidth="1"/>
    <col min="10254" max="10254" width="9.7265625" style="1285" customWidth="1"/>
    <col min="10255" max="10255" width="10" style="1285" customWidth="1"/>
    <col min="10256" max="10256" width="8.7265625" style="1285" customWidth="1"/>
    <col min="10257" max="10257" width="6.54296875" style="1285" bestFit="1" customWidth="1"/>
    <col min="10258" max="10258" width="9.7265625" style="1285" bestFit="1" customWidth="1"/>
    <col min="10259" max="10259" width="10.26953125" style="1285" customWidth="1"/>
    <col min="10260" max="10260" width="12.7265625" style="1285" customWidth="1"/>
    <col min="10261" max="10261" width="14" style="1285" customWidth="1"/>
    <col min="10262" max="10264" width="12.7265625" style="1285" customWidth="1"/>
    <col min="10265" max="10265" width="15.26953125" style="1285" customWidth="1"/>
    <col min="10266" max="10266" width="12.54296875" style="1285" customWidth="1"/>
    <col min="10267" max="10267" width="13.453125" style="1285" customWidth="1"/>
    <col min="10268" max="10268" width="13.54296875" style="1285" customWidth="1"/>
    <col min="10269" max="10496" width="8.7265625" style="1285"/>
    <col min="10497" max="10497" width="6.54296875" style="1285" customWidth="1"/>
    <col min="10498" max="10498" width="48.54296875" style="1285" customWidth="1"/>
    <col min="10499" max="10499" width="9.54296875" style="1285" customWidth="1"/>
    <col min="10500" max="10500" width="27.7265625" style="1285" customWidth="1"/>
    <col min="10501" max="10501" width="11.54296875" style="1285" customWidth="1"/>
    <col min="10502" max="10502" width="11.453125" style="1285" customWidth="1"/>
    <col min="10503" max="10508" width="8.7265625" style="1285" customWidth="1"/>
    <col min="10509" max="10509" width="9.453125" style="1285" bestFit="1" customWidth="1"/>
    <col min="10510" max="10510" width="9.7265625" style="1285" customWidth="1"/>
    <col min="10511" max="10511" width="10" style="1285" customWidth="1"/>
    <col min="10512" max="10512" width="8.7265625" style="1285" customWidth="1"/>
    <col min="10513" max="10513" width="6.54296875" style="1285" bestFit="1" customWidth="1"/>
    <col min="10514" max="10514" width="9.7265625" style="1285" bestFit="1" customWidth="1"/>
    <col min="10515" max="10515" width="10.26953125" style="1285" customWidth="1"/>
    <col min="10516" max="10516" width="12.7265625" style="1285" customWidth="1"/>
    <col min="10517" max="10517" width="14" style="1285" customWidth="1"/>
    <col min="10518" max="10520" width="12.7265625" style="1285" customWidth="1"/>
    <col min="10521" max="10521" width="15.26953125" style="1285" customWidth="1"/>
    <col min="10522" max="10522" width="12.54296875" style="1285" customWidth="1"/>
    <col min="10523" max="10523" width="13.453125" style="1285" customWidth="1"/>
    <col min="10524" max="10524" width="13.54296875" style="1285" customWidth="1"/>
    <col min="10525" max="10752" width="8.7265625" style="1285"/>
    <col min="10753" max="10753" width="6.54296875" style="1285" customWidth="1"/>
    <col min="10754" max="10754" width="48.54296875" style="1285" customWidth="1"/>
    <col min="10755" max="10755" width="9.54296875" style="1285" customWidth="1"/>
    <col min="10756" max="10756" width="27.7265625" style="1285" customWidth="1"/>
    <col min="10757" max="10757" width="11.54296875" style="1285" customWidth="1"/>
    <col min="10758" max="10758" width="11.453125" style="1285" customWidth="1"/>
    <col min="10759" max="10764" width="8.7265625" style="1285" customWidth="1"/>
    <col min="10765" max="10765" width="9.453125" style="1285" bestFit="1" customWidth="1"/>
    <col min="10766" max="10766" width="9.7265625" style="1285" customWidth="1"/>
    <col min="10767" max="10767" width="10" style="1285" customWidth="1"/>
    <col min="10768" max="10768" width="8.7265625" style="1285" customWidth="1"/>
    <col min="10769" max="10769" width="6.54296875" style="1285" bestFit="1" customWidth="1"/>
    <col min="10770" max="10770" width="9.7265625" style="1285" bestFit="1" customWidth="1"/>
    <col min="10771" max="10771" width="10.26953125" style="1285" customWidth="1"/>
    <col min="10772" max="10772" width="12.7265625" style="1285" customWidth="1"/>
    <col min="10773" max="10773" width="14" style="1285" customWidth="1"/>
    <col min="10774" max="10776" width="12.7265625" style="1285" customWidth="1"/>
    <col min="10777" max="10777" width="15.26953125" style="1285" customWidth="1"/>
    <col min="10778" max="10778" width="12.54296875" style="1285" customWidth="1"/>
    <col min="10779" max="10779" width="13.453125" style="1285" customWidth="1"/>
    <col min="10780" max="10780" width="13.54296875" style="1285" customWidth="1"/>
    <col min="10781" max="11008" width="8.7265625" style="1285"/>
    <col min="11009" max="11009" width="6.54296875" style="1285" customWidth="1"/>
    <col min="11010" max="11010" width="48.54296875" style="1285" customWidth="1"/>
    <col min="11011" max="11011" width="9.54296875" style="1285" customWidth="1"/>
    <col min="11012" max="11012" width="27.7265625" style="1285" customWidth="1"/>
    <col min="11013" max="11013" width="11.54296875" style="1285" customWidth="1"/>
    <col min="11014" max="11014" width="11.453125" style="1285" customWidth="1"/>
    <col min="11015" max="11020" width="8.7265625" style="1285" customWidth="1"/>
    <col min="11021" max="11021" width="9.453125" style="1285" bestFit="1" customWidth="1"/>
    <col min="11022" max="11022" width="9.7265625" style="1285" customWidth="1"/>
    <col min="11023" max="11023" width="10" style="1285" customWidth="1"/>
    <col min="11024" max="11024" width="8.7265625" style="1285" customWidth="1"/>
    <col min="11025" max="11025" width="6.54296875" style="1285" bestFit="1" customWidth="1"/>
    <col min="11026" max="11026" width="9.7265625" style="1285" bestFit="1" customWidth="1"/>
    <col min="11027" max="11027" width="10.26953125" style="1285" customWidth="1"/>
    <col min="11028" max="11028" width="12.7265625" style="1285" customWidth="1"/>
    <col min="11029" max="11029" width="14" style="1285" customWidth="1"/>
    <col min="11030" max="11032" width="12.7265625" style="1285" customWidth="1"/>
    <col min="11033" max="11033" width="15.26953125" style="1285" customWidth="1"/>
    <col min="11034" max="11034" width="12.54296875" style="1285" customWidth="1"/>
    <col min="11035" max="11035" width="13.453125" style="1285" customWidth="1"/>
    <col min="11036" max="11036" width="13.54296875" style="1285" customWidth="1"/>
    <col min="11037" max="11264" width="8.7265625" style="1285"/>
    <col min="11265" max="11265" width="6.54296875" style="1285" customWidth="1"/>
    <col min="11266" max="11266" width="48.54296875" style="1285" customWidth="1"/>
    <col min="11267" max="11267" width="9.54296875" style="1285" customWidth="1"/>
    <col min="11268" max="11268" width="27.7265625" style="1285" customWidth="1"/>
    <col min="11269" max="11269" width="11.54296875" style="1285" customWidth="1"/>
    <col min="11270" max="11270" width="11.453125" style="1285" customWidth="1"/>
    <col min="11271" max="11276" width="8.7265625" style="1285" customWidth="1"/>
    <col min="11277" max="11277" width="9.453125" style="1285" bestFit="1" customWidth="1"/>
    <col min="11278" max="11278" width="9.7265625" style="1285" customWidth="1"/>
    <col min="11279" max="11279" width="10" style="1285" customWidth="1"/>
    <col min="11280" max="11280" width="8.7265625" style="1285" customWidth="1"/>
    <col min="11281" max="11281" width="6.54296875" style="1285" bestFit="1" customWidth="1"/>
    <col min="11282" max="11282" width="9.7265625" style="1285" bestFit="1" customWidth="1"/>
    <col min="11283" max="11283" width="10.26953125" style="1285" customWidth="1"/>
    <col min="11284" max="11284" width="12.7265625" style="1285" customWidth="1"/>
    <col min="11285" max="11285" width="14" style="1285" customWidth="1"/>
    <col min="11286" max="11288" width="12.7265625" style="1285" customWidth="1"/>
    <col min="11289" max="11289" width="15.26953125" style="1285" customWidth="1"/>
    <col min="11290" max="11290" width="12.54296875" style="1285" customWidth="1"/>
    <col min="11291" max="11291" width="13.453125" style="1285" customWidth="1"/>
    <col min="11292" max="11292" width="13.54296875" style="1285" customWidth="1"/>
    <col min="11293" max="11520" width="8.7265625" style="1285"/>
    <col min="11521" max="11521" width="6.54296875" style="1285" customWidth="1"/>
    <col min="11522" max="11522" width="48.54296875" style="1285" customWidth="1"/>
    <col min="11523" max="11523" width="9.54296875" style="1285" customWidth="1"/>
    <col min="11524" max="11524" width="27.7265625" style="1285" customWidth="1"/>
    <col min="11525" max="11525" width="11.54296875" style="1285" customWidth="1"/>
    <col min="11526" max="11526" width="11.453125" style="1285" customWidth="1"/>
    <col min="11527" max="11532" width="8.7265625" style="1285" customWidth="1"/>
    <col min="11533" max="11533" width="9.453125" style="1285" bestFit="1" customWidth="1"/>
    <col min="11534" max="11534" width="9.7265625" style="1285" customWidth="1"/>
    <col min="11535" max="11535" width="10" style="1285" customWidth="1"/>
    <col min="11536" max="11536" width="8.7265625" style="1285" customWidth="1"/>
    <col min="11537" max="11537" width="6.54296875" style="1285" bestFit="1" customWidth="1"/>
    <col min="11538" max="11538" width="9.7265625" style="1285" bestFit="1" customWidth="1"/>
    <col min="11539" max="11539" width="10.26953125" style="1285" customWidth="1"/>
    <col min="11540" max="11540" width="12.7265625" style="1285" customWidth="1"/>
    <col min="11541" max="11541" width="14" style="1285" customWidth="1"/>
    <col min="11542" max="11544" width="12.7265625" style="1285" customWidth="1"/>
    <col min="11545" max="11545" width="15.26953125" style="1285" customWidth="1"/>
    <col min="11546" max="11546" width="12.54296875" style="1285" customWidth="1"/>
    <col min="11547" max="11547" width="13.453125" style="1285" customWidth="1"/>
    <col min="11548" max="11548" width="13.54296875" style="1285" customWidth="1"/>
    <col min="11549" max="11776" width="8.7265625" style="1285"/>
    <col min="11777" max="11777" width="6.54296875" style="1285" customWidth="1"/>
    <col min="11778" max="11778" width="48.54296875" style="1285" customWidth="1"/>
    <col min="11779" max="11779" width="9.54296875" style="1285" customWidth="1"/>
    <col min="11780" max="11780" width="27.7265625" style="1285" customWidth="1"/>
    <col min="11781" max="11781" width="11.54296875" style="1285" customWidth="1"/>
    <col min="11782" max="11782" width="11.453125" style="1285" customWidth="1"/>
    <col min="11783" max="11788" width="8.7265625" style="1285" customWidth="1"/>
    <col min="11789" max="11789" width="9.453125" style="1285" bestFit="1" customWidth="1"/>
    <col min="11790" max="11790" width="9.7265625" style="1285" customWidth="1"/>
    <col min="11791" max="11791" width="10" style="1285" customWidth="1"/>
    <col min="11792" max="11792" width="8.7265625" style="1285" customWidth="1"/>
    <col min="11793" max="11793" width="6.54296875" style="1285" bestFit="1" customWidth="1"/>
    <col min="11794" max="11794" width="9.7265625" style="1285" bestFit="1" customWidth="1"/>
    <col min="11795" max="11795" width="10.26953125" style="1285" customWidth="1"/>
    <col min="11796" max="11796" width="12.7265625" style="1285" customWidth="1"/>
    <col min="11797" max="11797" width="14" style="1285" customWidth="1"/>
    <col min="11798" max="11800" width="12.7265625" style="1285" customWidth="1"/>
    <col min="11801" max="11801" width="15.26953125" style="1285" customWidth="1"/>
    <col min="11802" max="11802" width="12.54296875" style="1285" customWidth="1"/>
    <col min="11803" max="11803" width="13.453125" style="1285" customWidth="1"/>
    <col min="11804" max="11804" width="13.54296875" style="1285" customWidth="1"/>
    <col min="11805" max="12032" width="8.7265625" style="1285"/>
    <col min="12033" max="12033" width="6.54296875" style="1285" customWidth="1"/>
    <col min="12034" max="12034" width="48.54296875" style="1285" customWidth="1"/>
    <col min="12035" max="12035" width="9.54296875" style="1285" customWidth="1"/>
    <col min="12036" max="12036" width="27.7265625" style="1285" customWidth="1"/>
    <col min="12037" max="12037" width="11.54296875" style="1285" customWidth="1"/>
    <col min="12038" max="12038" width="11.453125" style="1285" customWidth="1"/>
    <col min="12039" max="12044" width="8.7265625" style="1285" customWidth="1"/>
    <col min="12045" max="12045" width="9.453125" style="1285" bestFit="1" customWidth="1"/>
    <col min="12046" max="12046" width="9.7265625" style="1285" customWidth="1"/>
    <col min="12047" max="12047" width="10" style="1285" customWidth="1"/>
    <col min="12048" max="12048" width="8.7265625" style="1285" customWidth="1"/>
    <col min="12049" max="12049" width="6.54296875" style="1285" bestFit="1" customWidth="1"/>
    <col min="12050" max="12050" width="9.7265625" style="1285" bestFit="1" customWidth="1"/>
    <col min="12051" max="12051" width="10.26953125" style="1285" customWidth="1"/>
    <col min="12052" max="12052" width="12.7265625" style="1285" customWidth="1"/>
    <col min="12053" max="12053" width="14" style="1285" customWidth="1"/>
    <col min="12054" max="12056" width="12.7265625" style="1285" customWidth="1"/>
    <col min="12057" max="12057" width="15.26953125" style="1285" customWidth="1"/>
    <col min="12058" max="12058" width="12.54296875" style="1285" customWidth="1"/>
    <col min="12059" max="12059" width="13.453125" style="1285" customWidth="1"/>
    <col min="12060" max="12060" width="13.54296875" style="1285" customWidth="1"/>
    <col min="12061" max="12288" width="8.7265625" style="1285"/>
    <col min="12289" max="12289" width="6.54296875" style="1285" customWidth="1"/>
    <col min="12290" max="12290" width="48.54296875" style="1285" customWidth="1"/>
    <col min="12291" max="12291" width="9.54296875" style="1285" customWidth="1"/>
    <col min="12292" max="12292" width="27.7265625" style="1285" customWidth="1"/>
    <col min="12293" max="12293" width="11.54296875" style="1285" customWidth="1"/>
    <col min="12294" max="12294" width="11.453125" style="1285" customWidth="1"/>
    <col min="12295" max="12300" width="8.7265625" style="1285" customWidth="1"/>
    <col min="12301" max="12301" width="9.453125" style="1285" bestFit="1" customWidth="1"/>
    <col min="12302" max="12302" width="9.7265625" style="1285" customWidth="1"/>
    <col min="12303" max="12303" width="10" style="1285" customWidth="1"/>
    <col min="12304" max="12304" width="8.7265625" style="1285" customWidth="1"/>
    <col min="12305" max="12305" width="6.54296875" style="1285" bestFit="1" customWidth="1"/>
    <col min="12306" max="12306" width="9.7265625" style="1285" bestFit="1" customWidth="1"/>
    <col min="12307" max="12307" width="10.26953125" style="1285" customWidth="1"/>
    <col min="12308" max="12308" width="12.7265625" style="1285" customWidth="1"/>
    <col min="12309" max="12309" width="14" style="1285" customWidth="1"/>
    <col min="12310" max="12312" width="12.7265625" style="1285" customWidth="1"/>
    <col min="12313" max="12313" width="15.26953125" style="1285" customWidth="1"/>
    <col min="12314" max="12314" width="12.54296875" style="1285" customWidth="1"/>
    <col min="12315" max="12315" width="13.453125" style="1285" customWidth="1"/>
    <col min="12316" max="12316" width="13.54296875" style="1285" customWidth="1"/>
    <col min="12317" max="12544" width="8.7265625" style="1285"/>
    <col min="12545" max="12545" width="6.54296875" style="1285" customWidth="1"/>
    <col min="12546" max="12546" width="48.54296875" style="1285" customWidth="1"/>
    <col min="12547" max="12547" width="9.54296875" style="1285" customWidth="1"/>
    <col min="12548" max="12548" width="27.7265625" style="1285" customWidth="1"/>
    <col min="12549" max="12549" width="11.54296875" style="1285" customWidth="1"/>
    <col min="12550" max="12550" width="11.453125" style="1285" customWidth="1"/>
    <col min="12551" max="12556" width="8.7265625" style="1285" customWidth="1"/>
    <col min="12557" max="12557" width="9.453125" style="1285" bestFit="1" customWidth="1"/>
    <col min="12558" max="12558" width="9.7265625" style="1285" customWidth="1"/>
    <col min="12559" max="12559" width="10" style="1285" customWidth="1"/>
    <col min="12560" max="12560" width="8.7265625" style="1285" customWidth="1"/>
    <col min="12561" max="12561" width="6.54296875" style="1285" bestFit="1" customWidth="1"/>
    <col min="12562" max="12562" width="9.7265625" style="1285" bestFit="1" customWidth="1"/>
    <col min="12563" max="12563" width="10.26953125" style="1285" customWidth="1"/>
    <col min="12564" max="12564" width="12.7265625" style="1285" customWidth="1"/>
    <col min="12565" max="12565" width="14" style="1285" customWidth="1"/>
    <col min="12566" max="12568" width="12.7265625" style="1285" customWidth="1"/>
    <col min="12569" max="12569" width="15.26953125" style="1285" customWidth="1"/>
    <col min="12570" max="12570" width="12.54296875" style="1285" customWidth="1"/>
    <col min="12571" max="12571" width="13.453125" style="1285" customWidth="1"/>
    <col min="12572" max="12572" width="13.54296875" style="1285" customWidth="1"/>
    <col min="12573" max="12800" width="8.7265625" style="1285"/>
    <col min="12801" max="12801" width="6.54296875" style="1285" customWidth="1"/>
    <col min="12802" max="12802" width="48.54296875" style="1285" customWidth="1"/>
    <col min="12803" max="12803" width="9.54296875" style="1285" customWidth="1"/>
    <col min="12804" max="12804" width="27.7265625" style="1285" customWidth="1"/>
    <col min="12805" max="12805" width="11.54296875" style="1285" customWidth="1"/>
    <col min="12806" max="12806" width="11.453125" style="1285" customWidth="1"/>
    <col min="12807" max="12812" width="8.7265625" style="1285" customWidth="1"/>
    <col min="12813" max="12813" width="9.453125" style="1285" bestFit="1" customWidth="1"/>
    <col min="12814" max="12814" width="9.7265625" style="1285" customWidth="1"/>
    <col min="12815" max="12815" width="10" style="1285" customWidth="1"/>
    <col min="12816" max="12816" width="8.7265625" style="1285" customWidth="1"/>
    <col min="12817" max="12817" width="6.54296875" style="1285" bestFit="1" customWidth="1"/>
    <col min="12818" max="12818" width="9.7265625" style="1285" bestFit="1" customWidth="1"/>
    <col min="12819" max="12819" width="10.26953125" style="1285" customWidth="1"/>
    <col min="12820" max="12820" width="12.7265625" style="1285" customWidth="1"/>
    <col min="12821" max="12821" width="14" style="1285" customWidth="1"/>
    <col min="12822" max="12824" width="12.7265625" style="1285" customWidth="1"/>
    <col min="12825" max="12825" width="15.26953125" style="1285" customWidth="1"/>
    <col min="12826" max="12826" width="12.54296875" style="1285" customWidth="1"/>
    <col min="12827" max="12827" width="13.453125" style="1285" customWidth="1"/>
    <col min="12828" max="12828" width="13.54296875" style="1285" customWidth="1"/>
    <col min="12829" max="13056" width="8.7265625" style="1285"/>
    <col min="13057" max="13057" width="6.54296875" style="1285" customWidth="1"/>
    <col min="13058" max="13058" width="48.54296875" style="1285" customWidth="1"/>
    <col min="13059" max="13059" width="9.54296875" style="1285" customWidth="1"/>
    <col min="13060" max="13060" width="27.7265625" style="1285" customWidth="1"/>
    <col min="13061" max="13061" width="11.54296875" style="1285" customWidth="1"/>
    <col min="13062" max="13062" width="11.453125" style="1285" customWidth="1"/>
    <col min="13063" max="13068" width="8.7265625" style="1285" customWidth="1"/>
    <col min="13069" max="13069" width="9.453125" style="1285" bestFit="1" customWidth="1"/>
    <col min="13070" max="13070" width="9.7265625" style="1285" customWidth="1"/>
    <col min="13071" max="13071" width="10" style="1285" customWidth="1"/>
    <col min="13072" max="13072" width="8.7265625" style="1285" customWidth="1"/>
    <col min="13073" max="13073" width="6.54296875" style="1285" bestFit="1" customWidth="1"/>
    <col min="13074" max="13074" width="9.7265625" style="1285" bestFit="1" customWidth="1"/>
    <col min="13075" max="13075" width="10.26953125" style="1285" customWidth="1"/>
    <col min="13076" max="13076" width="12.7265625" style="1285" customWidth="1"/>
    <col min="13077" max="13077" width="14" style="1285" customWidth="1"/>
    <col min="13078" max="13080" width="12.7265625" style="1285" customWidth="1"/>
    <col min="13081" max="13081" width="15.26953125" style="1285" customWidth="1"/>
    <col min="13082" max="13082" width="12.54296875" style="1285" customWidth="1"/>
    <col min="13083" max="13083" width="13.453125" style="1285" customWidth="1"/>
    <col min="13084" max="13084" width="13.54296875" style="1285" customWidth="1"/>
    <col min="13085" max="13312" width="8.7265625" style="1285"/>
    <col min="13313" max="13313" width="6.54296875" style="1285" customWidth="1"/>
    <col min="13314" max="13314" width="48.54296875" style="1285" customWidth="1"/>
    <col min="13315" max="13315" width="9.54296875" style="1285" customWidth="1"/>
    <col min="13316" max="13316" width="27.7265625" style="1285" customWidth="1"/>
    <col min="13317" max="13317" width="11.54296875" style="1285" customWidth="1"/>
    <col min="13318" max="13318" width="11.453125" style="1285" customWidth="1"/>
    <col min="13319" max="13324" width="8.7265625" style="1285" customWidth="1"/>
    <col min="13325" max="13325" width="9.453125" style="1285" bestFit="1" customWidth="1"/>
    <col min="13326" max="13326" width="9.7265625" style="1285" customWidth="1"/>
    <col min="13327" max="13327" width="10" style="1285" customWidth="1"/>
    <col min="13328" max="13328" width="8.7265625" style="1285" customWidth="1"/>
    <col min="13329" max="13329" width="6.54296875" style="1285" bestFit="1" customWidth="1"/>
    <col min="13330" max="13330" width="9.7265625" style="1285" bestFit="1" customWidth="1"/>
    <col min="13331" max="13331" width="10.26953125" style="1285" customWidth="1"/>
    <col min="13332" max="13332" width="12.7265625" style="1285" customWidth="1"/>
    <col min="13333" max="13333" width="14" style="1285" customWidth="1"/>
    <col min="13334" max="13336" width="12.7265625" style="1285" customWidth="1"/>
    <col min="13337" max="13337" width="15.26953125" style="1285" customWidth="1"/>
    <col min="13338" max="13338" width="12.54296875" style="1285" customWidth="1"/>
    <col min="13339" max="13339" width="13.453125" style="1285" customWidth="1"/>
    <col min="13340" max="13340" width="13.54296875" style="1285" customWidth="1"/>
    <col min="13341" max="13568" width="8.7265625" style="1285"/>
    <col min="13569" max="13569" width="6.54296875" style="1285" customWidth="1"/>
    <col min="13570" max="13570" width="48.54296875" style="1285" customWidth="1"/>
    <col min="13571" max="13571" width="9.54296875" style="1285" customWidth="1"/>
    <col min="13572" max="13572" width="27.7265625" style="1285" customWidth="1"/>
    <col min="13573" max="13573" width="11.54296875" style="1285" customWidth="1"/>
    <col min="13574" max="13574" width="11.453125" style="1285" customWidth="1"/>
    <col min="13575" max="13580" width="8.7265625" style="1285" customWidth="1"/>
    <col min="13581" max="13581" width="9.453125" style="1285" bestFit="1" customWidth="1"/>
    <col min="13582" max="13582" width="9.7265625" style="1285" customWidth="1"/>
    <col min="13583" max="13583" width="10" style="1285" customWidth="1"/>
    <col min="13584" max="13584" width="8.7265625" style="1285" customWidth="1"/>
    <col min="13585" max="13585" width="6.54296875" style="1285" bestFit="1" customWidth="1"/>
    <col min="13586" max="13586" width="9.7265625" style="1285" bestFit="1" customWidth="1"/>
    <col min="13587" max="13587" width="10.26953125" style="1285" customWidth="1"/>
    <col min="13588" max="13588" width="12.7265625" style="1285" customWidth="1"/>
    <col min="13589" max="13589" width="14" style="1285" customWidth="1"/>
    <col min="13590" max="13592" width="12.7265625" style="1285" customWidth="1"/>
    <col min="13593" max="13593" width="15.26953125" style="1285" customWidth="1"/>
    <col min="13594" max="13594" width="12.54296875" style="1285" customWidth="1"/>
    <col min="13595" max="13595" width="13.453125" style="1285" customWidth="1"/>
    <col min="13596" max="13596" width="13.54296875" style="1285" customWidth="1"/>
    <col min="13597" max="13824" width="8.7265625" style="1285"/>
    <col min="13825" max="13825" width="6.54296875" style="1285" customWidth="1"/>
    <col min="13826" max="13826" width="48.54296875" style="1285" customWidth="1"/>
    <col min="13827" max="13827" width="9.54296875" style="1285" customWidth="1"/>
    <col min="13828" max="13828" width="27.7265625" style="1285" customWidth="1"/>
    <col min="13829" max="13829" width="11.54296875" style="1285" customWidth="1"/>
    <col min="13830" max="13830" width="11.453125" style="1285" customWidth="1"/>
    <col min="13831" max="13836" width="8.7265625" style="1285" customWidth="1"/>
    <col min="13837" max="13837" width="9.453125" style="1285" bestFit="1" customWidth="1"/>
    <col min="13838" max="13838" width="9.7265625" style="1285" customWidth="1"/>
    <col min="13839" max="13839" width="10" style="1285" customWidth="1"/>
    <col min="13840" max="13840" width="8.7265625" style="1285" customWidth="1"/>
    <col min="13841" max="13841" width="6.54296875" style="1285" bestFit="1" customWidth="1"/>
    <col min="13842" max="13842" width="9.7265625" style="1285" bestFit="1" customWidth="1"/>
    <col min="13843" max="13843" width="10.26953125" style="1285" customWidth="1"/>
    <col min="13844" max="13844" width="12.7265625" style="1285" customWidth="1"/>
    <col min="13845" max="13845" width="14" style="1285" customWidth="1"/>
    <col min="13846" max="13848" width="12.7265625" style="1285" customWidth="1"/>
    <col min="13849" max="13849" width="15.26953125" style="1285" customWidth="1"/>
    <col min="13850" max="13850" width="12.54296875" style="1285" customWidth="1"/>
    <col min="13851" max="13851" width="13.453125" style="1285" customWidth="1"/>
    <col min="13852" max="13852" width="13.54296875" style="1285" customWidth="1"/>
    <col min="13853" max="14080" width="8.7265625" style="1285"/>
    <col min="14081" max="14081" width="6.54296875" style="1285" customWidth="1"/>
    <col min="14082" max="14082" width="48.54296875" style="1285" customWidth="1"/>
    <col min="14083" max="14083" width="9.54296875" style="1285" customWidth="1"/>
    <col min="14084" max="14084" width="27.7265625" style="1285" customWidth="1"/>
    <col min="14085" max="14085" width="11.54296875" style="1285" customWidth="1"/>
    <col min="14086" max="14086" width="11.453125" style="1285" customWidth="1"/>
    <col min="14087" max="14092" width="8.7265625" style="1285" customWidth="1"/>
    <col min="14093" max="14093" width="9.453125" style="1285" bestFit="1" customWidth="1"/>
    <col min="14094" max="14094" width="9.7265625" style="1285" customWidth="1"/>
    <col min="14095" max="14095" width="10" style="1285" customWidth="1"/>
    <col min="14096" max="14096" width="8.7265625" style="1285" customWidth="1"/>
    <col min="14097" max="14097" width="6.54296875" style="1285" bestFit="1" customWidth="1"/>
    <col min="14098" max="14098" width="9.7265625" style="1285" bestFit="1" customWidth="1"/>
    <col min="14099" max="14099" width="10.26953125" style="1285" customWidth="1"/>
    <col min="14100" max="14100" width="12.7265625" style="1285" customWidth="1"/>
    <col min="14101" max="14101" width="14" style="1285" customWidth="1"/>
    <col min="14102" max="14104" width="12.7265625" style="1285" customWidth="1"/>
    <col min="14105" max="14105" width="15.26953125" style="1285" customWidth="1"/>
    <col min="14106" max="14106" width="12.54296875" style="1285" customWidth="1"/>
    <col min="14107" max="14107" width="13.453125" style="1285" customWidth="1"/>
    <col min="14108" max="14108" width="13.54296875" style="1285" customWidth="1"/>
    <col min="14109" max="14336" width="8.7265625" style="1285"/>
    <col min="14337" max="14337" width="6.54296875" style="1285" customWidth="1"/>
    <col min="14338" max="14338" width="48.54296875" style="1285" customWidth="1"/>
    <col min="14339" max="14339" width="9.54296875" style="1285" customWidth="1"/>
    <col min="14340" max="14340" width="27.7265625" style="1285" customWidth="1"/>
    <col min="14341" max="14341" width="11.54296875" style="1285" customWidth="1"/>
    <col min="14342" max="14342" width="11.453125" style="1285" customWidth="1"/>
    <col min="14343" max="14348" width="8.7265625" style="1285" customWidth="1"/>
    <col min="14349" max="14349" width="9.453125" style="1285" bestFit="1" customWidth="1"/>
    <col min="14350" max="14350" width="9.7265625" style="1285" customWidth="1"/>
    <col min="14351" max="14351" width="10" style="1285" customWidth="1"/>
    <col min="14352" max="14352" width="8.7265625" style="1285" customWidth="1"/>
    <col min="14353" max="14353" width="6.54296875" style="1285" bestFit="1" customWidth="1"/>
    <col min="14354" max="14354" width="9.7265625" style="1285" bestFit="1" customWidth="1"/>
    <col min="14355" max="14355" width="10.26953125" style="1285" customWidth="1"/>
    <col min="14356" max="14356" width="12.7265625" style="1285" customWidth="1"/>
    <col min="14357" max="14357" width="14" style="1285" customWidth="1"/>
    <col min="14358" max="14360" width="12.7265625" style="1285" customWidth="1"/>
    <col min="14361" max="14361" width="15.26953125" style="1285" customWidth="1"/>
    <col min="14362" max="14362" width="12.54296875" style="1285" customWidth="1"/>
    <col min="14363" max="14363" width="13.453125" style="1285" customWidth="1"/>
    <col min="14364" max="14364" width="13.54296875" style="1285" customWidth="1"/>
    <col min="14365" max="14592" width="8.7265625" style="1285"/>
    <col min="14593" max="14593" width="6.54296875" style="1285" customWidth="1"/>
    <col min="14594" max="14594" width="48.54296875" style="1285" customWidth="1"/>
    <col min="14595" max="14595" width="9.54296875" style="1285" customWidth="1"/>
    <col min="14596" max="14596" width="27.7265625" style="1285" customWidth="1"/>
    <col min="14597" max="14597" width="11.54296875" style="1285" customWidth="1"/>
    <col min="14598" max="14598" width="11.453125" style="1285" customWidth="1"/>
    <col min="14599" max="14604" width="8.7265625" style="1285" customWidth="1"/>
    <col min="14605" max="14605" width="9.453125" style="1285" bestFit="1" customWidth="1"/>
    <col min="14606" max="14606" width="9.7265625" style="1285" customWidth="1"/>
    <col min="14607" max="14607" width="10" style="1285" customWidth="1"/>
    <col min="14608" max="14608" width="8.7265625" style="1285" customWidth="1"/>
    <col min="14609" max="14609" width="6.54296875" style="1285" bestFit="1" customWidth="1"/>
    <col min="14610" max="14610" width="9.7265625" style="1285" bestFit="1" customWidth="1"/>
    <col min="14611" max="14611" width="10.26953125" style="1285" customWidth="1"/>
    <col min="14612" max="14612" width="12.7265625" style="1285" customWidth="1"/>
    <col min="14613" max="14613" width="14" style="1285" customWidth="1"/>
    <col min="14614" max="14616" width="12.7265625" style="1285" customWidth="1"/>
    <col min="14617" max="14617" width="15.26953125" style="1285" customWidth="1"/>
    <col min="14618" max="14618" width="12.54296875" style="1285" customWidth="1"/>
    <col min="14619" max="14619" width="13.453125" style="1285" customWidth="1"/>
    <col min="14620" max="14620" width="13.54296875" style="1285" customWidth="1"/>
    <col min="14621" max="14848" width="8.7265625" style="1285"/>
    <col min="14849" max="14849" width="6.54296875" style="1285" customWidth="1"/>
    <col min="14850" max="14850" width="48.54296875" style="1285" customWidth="1"/>
    <col min="14851" max="14851" width="9.54296875" style="1285" customWidth="1"/>
    <col min="14852" max="14852" width="27.7265625" style="1285" customWidth="1"/>
    <col min="14853" max="14853" width="11.54296875" style="1285" customWidth="1"/>
    <col min="14854" max="14854" width="11.453125" style="1285" customWidth="1"/>
    <col min="14855" max="14860" width="8.7265625" style="1285" customWidth="1"/>
    <col min="14861" max="14861" width="9.453125" style="1285" bestFit="1" customWidth="1"/>
    <col min="14862" max="14862" width="9.7265625" style="1285" customWidth="1"/>
    <col min="14863" max="14863" width="10" style="1285" customWidth="1"/>
    <col min="14864" max="14864" width="8.7265625" style="1285" customWidth="1"/>
    <col min="14865" max="14865" width="6.54296875" style="1285" bestFit="1" customWidth="1"/>
    <col min="14866" max="14866" width="9.7265625" style="1285" bestFit="1" customWidth="1"/>
    <col min="14867" max="14867" width="10.26953125" style="1285" customWidth="1"/>
    <col min="14868" max="14868" width="12.7265625" style="1285" customWidth="1"/>
    <col min="14869" max="14869" width="14" style="1285" customWidth="1"/>
    <col min="14870" max="14872" width="12.7265625" style="1285" customWidth="1"/>
    <col min="14873" max="14873" width="15.26953125" style="1285" customWidth="1"/>
    <col min="14874" max="14874" width="12.54296875" style="1285" customWidth="1"/>
    <col min="14875" max="14875" width="13.453125" style="1285" customWidth="1"/>
    <col min="14876" max="14876" width="13.54296875" style="1285" customWidth="1"/>
    <col min="14877" max="15104" width="8.7265625" style="1285"/>
    <col min="15105" max="15105" width="6.54296875" style="1285" customWidth="1"/>
    <col min="15106" max="15106" width="48.54296875" style="1285" customWidth="1"/>
    <col min="15107" max="15107" width="9.54296875" style="1285" customWidth="1"/>
    <col min="15108" max="15108" width="27.7265625" style="1285" customWidth="1"/>
    <col min="15109" max="15109" width="11.54296875" style="1285" customWidth="1"/>
    <col min="15110" max="15110" width="11.453125" style="1285" customWidth="1"/>
    <col min="15111" max="15116" width="8.7265625" style="1285" customWidth="1"/>
    <col min="15117" max="15117" width="9.453125" style="1285" bestFit="1" customWidth="1"/>
    <col min="15118" max="15118" width="9.7265625" style="1285" customWidth="1"/>
    <col min="15119" max="15119" width="10" style="1285" customWidth="1"/>
    <col min="15120" max="15120" width="8.7265625" style="1285" customWidth="1"/>
    <col min="15121" max="15121" width="6.54296875" style="1285" bestFit="1" customWidth="1"/>
    <col min="15122" max="15122" width="9.7265625" style="1285" bestFit="1" customWidth="1"/>
    <col min="15123" max="15123" width="10.26953125" style="1285" customWidth="1"/>
    <col min="15124" max="15124" width="12.7265625" style="1285" customWidth="1"/>
    <col min="15125" max="15125" width="14" style="1285" customWidth="1"/>
    <col min="15126" max="15128" width="12.7265625" style="1285" customWidth="1"/>
    <col min="15129" max="15129" width="15.26953125" style="1285" customWidth="1"/>
    <col min="15130" max="15130" width="12.54296875" style="1285" customWidth="1"/>
    <col min="15131" max="15131" width="13.453125" style="1285" customWidth="1"/>
    <col min="15132" max="15132" width="13.54296875" style="1285" customWidth="1"/>
    <col min="15133" max="15360" width="8.7265625" style="1285"/>
    <col min="15361" max="15361" width="6.54296875" style="1285" customWidth="1"/>
    <col min="15362" max="15362" width="48.54296875" style="1285" customWidth="1"/>
    <col min="15363" max="15363" width="9.54296875" style="1285" customWidth="1"/>
    <col min="15364" max="15364" width="27.7265625" style="1285" customWidth="1"/>
    <col min="15365" max="15365" width="11.54296875" style="1285" customWidth="1"/>
    <col min="15366" max="15366" width="11.453125" style="1285" customWidth="1"/>
    <col min="15367" max="15372" width="8.7265625" style="1285" customWidth="1"/>
    <col min="15373" max="15373" width="9.453125" style="1285" bestFit="1" customWidth="1"/>
    <col min="15374" max="15374" width="9.7265625" style="1285" customWidth="1"/>
    <col min="15375" max="15375" width="10" style="1285" customWidth="1"/>
    <col min="15376" max="15376" width="8.7265625" style="1285" customWidth="1"/>
    <col min="15377" max="15377" width="6.54296875" style="1285" bestFit="1" customWidth="1"/>
    <col min="15378" max="15378" width="9.7265625" style="1285" bestFit="1" customWidth="1"/>
    <col min="15379" max="15379" width="10.26953125" style="1285" customWidth="1"/>
    <col min="15380" max="15380" width="12.7265625" style="1285" customWidth="1"/>
    <col min="15381" max="15381" width="14" style="1285" customWidth="1"/>
    <col min="15382" max="15384" width="12.7265625" style="1285" customWidth="1"/>
    <col min="15385" max="15385" width="15.26953125" style="1285" customWidth="1"/>
    <col min="15386" max="15386" width="12.54296875" style="1285" customWidth="1"/>
    <col min="15387" max="15387" width="13.453125" style="1285" customWidth="1"/>
    <col min="15388" max="15388" width="13.54296875" style="1285" customWidth="1"/>
    <col min="15389" max="15616" width="8.7265625" style="1285"/>
    <col min="15617" max="15617" width="6.54296875" style="1285" customWidth="1"/>
    <col min="15618" max="15618" width="48.54296875" style="1285" customWidth="1"/>
    <col min="15619" max="15619" width="9.54296875" style="1285" customWidth="1"/>
    <col min="15620" max="15620" width="27.7265625" style="1285" customWidth="1"/>
    <col min="15621" max="15621" width="11.54296875" style="1285" customWidth="1"/>
    <col min="15622" max="15622" width="11.453125" style="1285" customWidth="1"/>
    <col min="15623" max="15628" width="8.7265625" style="1285" customWidth="1"/>
    <col min="15629" max="15629" width="9.453125" style="1285" bestFit="1" customWidth="1"/>
    <col min="15630" max="15630" width="9.7265625" style="1285" customWidth="1"/>
    <col min="15631" max="15631" width="10" style="1285" customWidth="1"/>
    <col min="15632" max="15632" width="8.7265625" style="1285" customWidth="1"/>
    <col min="15633" max="15633" width="6.54296875" style="1285" bestFit="1" customWidth="1"/>
    <col min="15634" max="15634" width="9.7265625" style="1285" bestFit="1" customWidth="1"/>
    <col min="15635" max="15635" width="10.26953125" style="1285" customWidth="1"/>
    <col min="15636" max="15636" width="12.7265625" style="1285" customWidth="1"/>
    <col min="15637" max="15637" width="14" style="1285" customWidth="1"/>
    <col min="15638" max="15640" width="12.7265625" style="1285" customWidth="1"/>
    <col min="15641" max="15641" width="15.26953125" style="1285" customWidth="1"/>
    <col min="15642" max="15642" width="12.54296875" style="1285" customWidth="1"/>
    <col min="15643" max="15643" width="13.453125" style="1285" customWidth="1"/>
    <col min="15644" max="15644" width="13.54296875" style="1285" customWidth="1"/>
    <col min="15645" max="15872" width="8.7265625" style="1285"/>
    <col min="15873" max="15873" width="6.54296875" style="1285" customWidth="1"/>
    <col min="15874" max="15874" width="48.54296875" style="1285" customWidth="1"/>
    <col min="15875" max="15875" width="9.54296875" style="1285" customWidth="1"/>
    <col min="15876" max="15876" width="27.7265625" style="1285" customWidth="1"/>
    <col min="15877" max="15877" width="11.54296875" style="1285" customWidth="1"/>
    <col min="15878" max="15878" width="11.453125" style="1285" customWidth="1"/>
    <col min="15879" max="15884" width="8.7265625" style="1285" customWidth="1"/>
    <col min="15885" max="15885" width="9.453125" style="1285" bestFit="1" customWidth="1"/>
    <col min="15886" max="15886" width="9.7265625" style="1285" customWidth="1"/>
    <col min="15887" max="15887" width="10" style="1285" customWidth="1"/>
    <col min="15888" max="15888" width="8.7265625" style="1285" customWidth="1"/>
    <col min="15889" max="15889" width="6.54296875" style="1285" bestFit="1" customWidth="1"/>
    <col min="15890" max="15890" width="9.7265625" style="1285" bestFit="1" customWidth="1"/>
    <col min="15891" max="15891" width="10.26953125" style="1285" customWidth="1"/>
    <col min="15892" max="15892" width="12.7265625" style="1285" customWidth="1"/>
    <col min="15893" max="15893" width="14" style="1285" customWidth="1"/>
    <col min="15894" max="15896" width="12.7265625" style="1285" customWidth="1"/>
    <col min="15897" max="15897" width="15.26953125" style="1285" customWidth="1"/>
    <col min="15898" max="15898" width="12.54296875" style="1285" customWidth="1"/>
    <col min="15899" max="15899" width="13.453125" style="1285" customWidth="1"/>
    <col min="15900" max="15900" width="13.54296875" style="1285" customWidth="1"/>
    <col min="15901" max="16128" width="8.7265625" style="1285"/>
    <col min="16129" max="16129" width="6.54296875" style="1285" customWidth="1"/>
    <col min="16130" max="16130" width="48.54296875" style="1285" customWidth="1"/>
    <col min="16131" max="16131" width="9.54296875" style="1285" customWidth="1"/>
    <col min="16132" max="16132" width="27.7265625" style="1285" customWidth="1"/>
    <col min="16133" max="16133" width="11.54296875" style="1285" customWidth="1"/>
    <col min="16134" max="16134" width="11.453125" style="1285" customWidth="1"/>
    <col min="16135" max="16140" width="8.7265625" style="1285" customWidth="1"/>
    <col min="16141" max="16141" width="9.453125" style="1285" bestFit="1" customWidth="1"/>
    <col min="16142" max="16142" width="9.7265625" style="1285" customWidth="1"/>
    <col min="16143" max="16143" width="10" style="1285" customWidth="1"/>
    <col min="16144" max="16144" width="8.7265625" style="1285" customWidth="1"/>
    <col min="16145" max="16145" width="6.54296875" style="1285" bestFit="1" customWidth="1"/>
    <col min="16146" max="16146" width="9.7265625" style="1285" bestFit="1" customWidth="1"/>
    <col min="16147" max="16147" width="10.26953125" style="1285" customWidth="1"/>
    <col min="16148" max="16148" width="12.7265625" style="1285" customWidth="1"/>
    <col min="16149" max="16149" width="14" style="1285" customWidth="1"/>
    <col min="16150" max="16152" width="12.7265625" style="1285" customWidth="1"/>
    <col min="16153" max="16153" width="15.26953125" style="1285" customWidth="1"/>
    <col min="16154" max="16154" width="12.54296875" style="1285" customWidth="1"/>
    <col min="16155" max="16155" width="13.453125" style="1285" customWidth="1"/>
    <col min="16156" max="16156" width="13.54296875" style="1285" customWidth="1"/>
    <col min="16157" max="16384" width="8.7265625" style="1285"/>
  </cols>
  <sheetData>
    <row r="1" spans="1:28" x14ac:dyDescent="0.35">
      <c r="D1" s="1025" t="s">
        <v>1652</v>
      </c>
    </row>
    <row r="2" spans="1:28" x14ac:dyDescent="0.35">
      <c r="D2" s="1287" t="s">
        <v>1653</v>
      </c>
    </row>
    <row r="3" spans="1:28" x14ac:dyDescent="0.35">
      <c r="B3" s="1288" t="s">
        <v>0</v>
      </c>
      <c r="D3" s="1289" t="s">
        <v>515</v>
      </c>
      <c r="F3" s="1290"/>
      <c r="G3" s="1291"/>
      <c r="H3" s="1291"/>
      <c r="I3" s="1291"/>
      <c r="J3" s="1291"/>
      <c r="K3" s="1291"/>
      <c r="L3" s="1291"/>
      <c r="M3" s="1290"/>
      <c r="N3" s="1290"/>
      <c r="O3" s="1290"/>
      <c r="P3" s="1290"/>
      <c r="Q3" s="1290"/>
      <c r="R3" s="1290"/>
      <c r="S3" s="1292" t="s">
        <v>10</v>
      </c>
      <c r="T3" s="1290"/>
      <c r="U3" s="1290"/>
      <c r="V3" s="1290"/>
      <c r="W3" s="1290"/>
      <c r="X3" s="1290"/>
      <c r="Y3" s="1290"/>
      <c r="Z3" s="1290"/>
      <c r="AA3" s="1290"/>
      <c r="AB3" s="1290"/>
    </row>
    <row r="4" spans="1:28" s="535" customFormat="1" x14ac:dyDescent="0.25">
      <c r="A4" s="1602" t="s">
        <v>343</v>
      </c>
      <c r="B4" s="1603" t="s">
        <v>16</v>
      </c>
      <c r="C4" s="1603" t="s">
        <v>1</v>
      </c>
      <c r="D4" s="1603" t="s">
        <v>503</v>
      </c>
      <c r="E4" s="1604" t="s">
        <v>504</v>
      </c>
      <c r="F4" s="1601" t="s">
        <v>4</v>
      </c>
      <c r="G4" s="1609" t="s">
        <v>2</v>
      </c>
      <c r="H4" s="1610"/>
      <c r="I4" s="1611"/>
      <c r="J4" s="1609" t="s">
        <v>8</v>
      </c>
      <c r="K4" s="1610"/>
      <c r="L4" s="1611"/>
      <c r="M4" s="1601" t="s">
        <v>505</v>
      </c>
      <c r="N4" s="1601"/>
      <c r="O4" s="1601"/>
      <c r="P4" s="1601"/>
      <c r="Q4" s="1601"/>
      <c r="R4" s="1601"/>
      <c r="S4" s="1601"/>
    </row>
    <row r="5" spans="1:28" s="535" customFormat="1" x14ac:dyDescent="0.25">
      <c r="A5" s="1602"/>
      <c r="B5" s="1603"/>
      <c r="C5" s="1603"/>
      <c r="D5" s="1603"/>
      <c r="E5" s="1604"/>
      <c r="F5" s="1601"/>
      <c r="G5" s="1605" t="s">
        <v>11</v>
      </c>
      <c r="H5" s="1605" t="s">
        <v>9</v>
      </c>
      <c r="I5" s="1605" t="s">
        <v>506</v>
      </c>
      <c r="J5" s="1605" t="s">
        <v>11</v>
      </c>
      <c r="K5" s="1605" t="s">
        <v>9</v>
      </c>
      <c r="L5" s="1605" t="s">
        <v>7</v>
      </c>
      <c r="M5" s="1607" t="s">
        <v>25</v>
      </c>
      <c r="N5" s="1601" t="s">
        <v>507</v>
      </c>
      <c r="O5" s="1608" t="s">
        <v>685</v>
      </c>
      <c r="P5" s="1608"/>
      <c r="Q5" s="1608"/>
      <c r="R5" s="1608"/>
      <c r="S5" s="1608"/>
    </row>
    <row r="6" spans="1:28" ht="43.5" x14ac:dyDescent="0.35">
      <c r="A6" s="1602"/>
      <c r="B6" s="1603"/>
      <c r="C6" s="1603"/>
      <c r="D6" s="1603"/>
      <c r="E6" s="1604"/>
      <c r="F6" s="1601"/>
      <c r="G6" s="1606"/>
      <c r="H6" s="1606"/>
      <c r="I6" s="1606"/>
      <c r="J6" s="1606"/>
      <c r="K6" s="1606"/>
      <c r="L6" s="1606"/>
      <c r="M6" s="1607"/>
      <c r="N6" s="1601"/>
      <c r="O6" s="525" t="s">
        <v>690</v>
      </c>
      <c r="P6" s="525" t="s">
        <v>686</v>
      </c>
      <c r="Q6" s="525" t="s">
        <v>687</v>
      </c>
      <c r="R6" s="525" t="s">
        <v>688</v>
      </c>
      <c r="S6" s="1293" t="s">
        <v>689</v>
      </c>
    </row>
    <row r="7" spans="1:28" x14ac:dyDescent="0.35">
      <c r="A7" s="1294"/>
      <c r="B7" s="1295"/>
      <c r="C7" s="1295"/>
      <c r="D7" s="1295"/>
      <c r="E7" s="1296"/>
      <c r="F7" s="968"/>
      <c r="G7" s="970"/>
      <c r="H7" s="970"/>
      <c r="I7" s="970"/>
      <c r="J7" s="970"/>
      <c r="K7" s="970"/>
      <c r="L7" s="970"/>
      <c r="M7" s="969"/>
      <c r="N7" s="968"/>
      <c r="O7" s="968"/>
      <c r="P7" s="968"/>
      <c r="Q7" s="968"/>
      <c r="R7" s="968"/>
      <c r="S7" s="1295"/>
    </row>
    <row r="8" spans="1:28" x14ac:dyDescent="0.35">
      <c r="A8" s="1297"/>
      <c r="B8" s="967" t="s">
        <v>910</v>
      </c>
      <c r="C8" s="1298"/>
      <c r="D8" s="1299"/>
      <c r="E8" s="1300"/>
      <c r="F8" s="1298"/>
      <c r="G8" s="1300"/>
      <c r="H8" s="1300"/>
      <c r="I8" s="1300"/>
      <c r="J8" s="1300"/>
      <c r="K8" s="1300"/>
      <c r="L8" s="1300"/>
      <c r="M8" s="1298"/>
      <c r="N8" s="1298"/>
      <c r="O8" s="1298"/>
      <c r="P8" s="1298"/>
      <c r="Q8" s="1298"/>
      <c r="R8" s="1298"/>
      <c r="S8" s="1301"/>
    </row>
    <row r="9" spans="1:28" x14ac:dyDescent="0.35">
      <c r="A9" s="1297"/>
      <c r="B9" s="1302" t="s">
        <v>912</v>
      </c>
      <c r="C9" s="1298"/>
      <c r="D9" s="1299"/>
      <c r="E9" s="1300"/>
      <c r="F9" s="1298"/>
      <c r="G9" s="1300"/>
      <c r="H9" s="1300"/>
      <c r="I9" s="1300"/>
      <c r="J9" s="1300"/>
      <c r="K9" s="1300"/>
      <c r="L9" s="1300"/>
      <c r="M9" s="1298"/>
      <c r="N9" s="1298"/>
      <c r="O9" s="1298"/>
      <c r="P9" s="1298"/>
      <c r="Q9" s="1298"/>
      <c r="R9" s="1298"/>
      <c r="S9" s="1301"/>
    </row>
    <row r="10" spans="1:28" ht="29" x14ac:dyDescent="0.35">
      <c r="A10" s="1155">
        <v>2</v>
      </c>
      <c r="B10" s="1303" t="s">
        <v>913</v>
      </c>
      <c r="C10" s="1155" t="s">
        <v>896</v>
      </c>
      <c r="D10" s="1155" t="s">
        <v>914</v>
      </c>
      <c r="E10" s="1304">
        <v>41871</v>
      </c>
      <c r="F10" s="966"/>
      <c r="G10" s="1305">
        <f t="shared" ref="G10:G28" si="0">E10</f>
        <v>41871</v>
      </c>
      <c r="H10" s="1305"/>
      <c r="I10" s="1305" t="s">
        <v>915</v>
      </c>
      <c r="J10" s="1305" t="s">
        <v>915</v>
      </c>
      <c r="K10" s="1305"/>
      <c r="L10" s="1305" t="s">
        <v>915</v>
      </c>
      <c r="M10" s="965">
        <v>0</v>
      </c>
      <c r="N10" s="965">
        <v>0</v>
      </c>
      <c r="O10" s="966"/>
      <c r="P10" s="966"/>
      <c r="Q10" s="966"/>
      <c r="R10" s="966"/>
      <c r="S10" s="1306">
        <f t="shared" ref="S10:S28" si="1">IF(SUM(O10:R10)=0,M10-N10,-SUM(O10:R10))</f>
        <v>0</v>
      </c>
    </row>
    <row r="11" spans="1:28" ht="43.5" x14ac:dyDescent="0.35">
      <c r="A11" s="1162">
        <v>2.6</v>
      </c>
      <c r="B11" s="1307" t="s">
        <v>1630</v>
      </c>
      <c r="C11" s="1308" t="s">
        <v>898</v>
      </c>
      <c r="D11" s="1162" t="s">
        <v>914</v>
      </c>
      <c r="E11" s="1309">
        <v>41871</v>
      </c>
      <c r="F11" s="964"/>
      <c r="G11" s="1309">
        <f>E11</f>
        <v>41871</v>
      </c>
      <c r="H11" s="1310"/>
      <c r="I11" s="1309" t="s">
        <v>915</v>
      </c>
      <c r="J11" s="1309" t="s">
        <v>915</v>
      </c>
      <c r="K11" s="1310"/>
      <c r="L11" s="1309" t="s">
        <v>915</v>
      </c>
      <c r="M11" s="963">
        <v>0.2</v>
      </c>
      <c r="N11" s="963">
        <v>0.1988615</v>
      </c>
      <c r="O11" s="964"/>
      <c r="P11" s="964"/>
      <c r="Q11" s="964"/>
      <c r="R11" s="964"/>
      <c r="S11" s="1163">
        <f>IF(SUM(O11:R11)=0,M11-N11,-SUM(O11:R11))</f>
        <v>1.1385000000000145E-3</v>
      </c>
    </row>
    <row r="12" spans="1:28" ht="43.5" x14ac:dyDescent="0.35">
      <c r="A12" s="1162">
        <v>2.7</v>
      </c>
      <c r="B12" s="1307" t="s">
        <v>1629</v>
      </c>
      <c r="C12" s="1308" t="s">
        <v>898</v>
      </c>
      <c r="D12" s="1162" t="s">
        <v>914</v>
      </c>
      <c r="E12" s="1309">
        <v>41871</v>
      </c>
      <c r="F12" s="964"/>
      <c r="G12" s="1309">
        <f>E12</f>
        <v>41871</v>
      </c>
      <c r="H12" s="1310"/>
      <c r="I12" s="1309" t="s">
        <v>915</v>
      </c>
      <c r="J12" s="1309" t="s">
        <v>915</v>
      </c>
      <c r="K12" s="1310"/>
      <c r="L12" s="1309" t="s">
        <v>915</v>
      </c>
      <c r="M12" s="963">
        <v>0.2</v>
      </c>
      <c r="N12" s="963">
        <v>0.1988615</v>
      </c>
      <c r="O12" s="964"/>
      <c r="P12" s="964"/>
      <c r="Q12" s="964"/>
      <c r="R12" s="964"/>
      <c r="S12" s="1163">
        <f>IF(SUM(O12:R12)=0,M12-N12,-SUM(O12:R12))</f>
        <v>1.1385000000000145E-3</v>
      </c>
    </row>
    <row r="13" spans="1:28" ht="29" x14ac:dyDescent="0.35">
      <c r="A13" s="1162">
        <v>0</v>
      </c>
      <c r="B13" s="1307" t="s">
        <v>419</v>
      </c>
      <c r="C13" s="1308" t="s">
        <v>419</v>
      </c>
      <c r="D13" s="1162" t="s">
        <v>914</v>
      </c>
      <c r="E13" s="1309">
        <v>41871</v>
      </c>
      <c r="F13" s="964"/>
      <c r="G13" s="1309">
        <f>E13</f>
        <v>41871</v>
      </c>
      <c r="H13" s="1310"/>
      <c r="I13" s="1309" t="s">
        <v>915</v>
      </c>
      <c r="J13" s="1309" t="s">
        <v>915</v>
      </c>
      <c r="K13" s="1310"/>
      <c r="L13" s="1309" t="s">
        <v>915</v>
      </c>
      <c r="M13" s="963">
        <v>0.33119999999999999</v>
      </c>
      <c r="N13" s="963">
        <v>0</v>
      </c>
      <c r="O13" s="964"/>
      <c r="P13" s="964"/>
      <c r="Q13" s="964"/>
      <c r="R13" s="964"/>
      <c r="S13" s="1163">
        <f>IF(SUM(O13:R13)=0,M13-N13,-SUM(O13:R13))</f>
        <v>0.33119999999999999</v>
      </c>
    </row>
    <row r="14" spans="1:28" ht="43.5" x14ac:dyDescent="0.35">
      <c r="A14" s="1155">
        <v>6</v>
      </c>
      <c r="B14" s="1303" t="s">
        <v>1628</v>
      </c>
      <c r="C14" s="1155" t="s">
        <v>896</v>
      </c>
      <c r="D14" s="1155" t="s">
        <v>1627</v>
      </c>
      <c r="E14" s="1304">
        <v>42997</v>
      </c>
      <c r="F14" s="966"/>
      <c r="G14" s="1305">
        <f t="shared" si="0"/>
        <v>42997</v>
      </c>
      <c r="H14" s="1305"/>
      <c r="I14" s="1305" t="s">
        <v>915</v>
      </c>
      <c r="J14" s="1305" t="s">
        <v>915</v>
      </c>
      <c r="K14" s="1305"/>
      <c r="L14" s="1305" t="s">
        <v>915</v>
      </c>
      <c r="M14" s="965">
        <v>0</v>
      </c>
      <c r="N14" s="965">
        <v>0</v>
      </c>
      <c r="O14" s="966"/>
      <c r="P14" s="966"/>
      <c r="Q14" s="966"/>
      <c r="R14" s="966"/>
      <c r="S14" s="1306">
        <f t="shared" si="1"/>
        <v>0</v>
      </c>
    </row>
    <row r="15" spans="1:28" ht="29" x14ac:dyDescent="0.35">
      <c r="A15" s="1162">
        <v>6.1</v>
      </c>
      <c r="B15" s="1307" t="s">
        <v>1626</v>
      </c>
      <c r="C15" s="1308" t="s">
        <v>898</v>
      </c>
      <c r="D15" s="1162" t="s">
        <v>1627</v>
      </c>
      <c r="E15" s="1309">
        <v>42997</v>
      </c>
      <c r="F15" s="964"/>
      <c r="G15" s="1309">
        <f t="shared" si="0"/>
        <v>42997</v>
      </c>
      <c r="H15" s="1310"/>
      <c r="I15" s="1309" t="s">
        <v>915</v>
      </c>
      <c r="J15" s="1309" t="s">
        <v>915</v>
      </c>
      <c r="K15" s="1310"/>
      <c r="L15" s="1309" t="s">
        <v>915</v>
      </c>
      <c r="M15" s="963">
        <v>9.6780000000000008</v>
      </c>
      <c r="N15" s="963">
        <v>0</v>
      </c>
      <c r="O15" s="964"/>
      <c r="P15" s="964"/>
      <c r="Q15" s="964"/>
      <c r="R15" s="964"/>
      <c r="S15" s="1163">
        <f t="shared" si="1"/>
        <v>9.6780000000000008</v>
      </c>
    </row>
    <row r="16" spans="1:28" ht="29" x14ac:dyDescent="0.35">
      <c r="A16" s="1162">
        <v>0</v>
      </c>
      <c r="B16" s="1307" t="s">
        <v>1625</v>
      </c>
      <c r="C16" s="1308">
        <v>0</v>
      </c>
      <c r="D16" s="1162">
        <v>0</v>
      </c>
      <c r="E16" s="1309" t="s">
        <v>915</v>
      </c>
      <c r="F16" s="964"/>
      <c r="G16" s="1309" t="str">
        <f t="shared" si="0"/>
        <v>-</v>
      </c>
      <c r="H16" s="1310"/>
      <c r="I16" s="1309" t="s">
        <v>915</v>
      </c>
      <c r="J16" s="1309" t="s">
        <v>915</v>
      </c>
      <c r="K16" s="1310"/>
      <c r="L16" s="1309" t="s">
        <v>915</v>
      </c>
      <c r="M16" s="963">
        <v>5</v>
      </c>
      <c r="N16" s="963">
        <v>0</v>
      </c>
      <c r="O16" s="964"/>
      <c r="P16" s="964"/>
      <c r="Q16" s="964"/>
      <c r="R16" s="964"/>
      <c r="S16" s="1163">
        <f t="shared" ref="S16:S17" si="2">IF(SUM(O16:R16)=0,M16-N16,-SUM(O16:R16))</f>
        <v>5</v>
      </c>
    </row>
    <row r="17" spans="1:19" ht="29" x14ac:dyDescent="0.35">
      <c r="A17" s="1162">
        <v>0</v>
      </c>
      <c r="B17" s="1307" t="s">
        <v>1624</v>
      </c>
      <c r="C17" s="1308">
        <v>0</v>
      </c>
      <c r="D17" s="1162">
        <v>0</v>
      </c>
      <c r="E17" s="1309" t="s">
        <v>915</v>
      </c>
      <c r="F17" s="964"/>
      <c r="G17" s="1309" t="str">
        <f t="shared" si="0"/>
        <v>-</v>
      </c>
      <c r="H17" s="1310"/>
      <c r="I17" s="1309" t="s">
        <v>915</v>
      </c>
      <c r="J17" s="1309" t="s">
        <v>915</v>
      </c>
      <c r="K17" s="1310"/>
      <c r="L17" s="1309" t="s">
        <v>915</v>
      </c>
      <c r="M17" s="963">
        <v>4.68</v>
      </c>
      <c r="N17" s="963">
        <v>0</v>
      </c>
      <c r="O17" s="964"/>
      <c r="P17" s="964"/>
      <c r="Q17" s="964"/>
      <c r="R17" s="964"/>
      <c r="S17" s="1163">
        <f t="shared" si="2"/>
        <v>4.68</v>
      </c>
    </row>
    <row r="18" spans="1:19" ht="58" x14ac:dyDescent="0.35">
      <c r="A18" s="1162">
        <v>6.2</v>
      </c>
      <c r="B18" s="1307" t="s">
        <v>1623</v>
      </c>
      <c r="C18" s="1308" t="s">
        <v>898</v>
      </c>
      <c r="D18" s="1162" t="s">
        <v>1627</v>
      </c>
      <c r="E18" s="1309">
        <v>42997</v>
      </c>
      <c r="F18" s="964"/>
      <c r="G18" s="1309">
        <f>E18</f>
        <v>42997</v>
      </c>
      <c r="H18" s="1310"/>
      <c r="I18" s="1309" t="s">
        <v>915</v>
      </c>
      <c r="J18" s="1309" t="s">
        <v>915</v>
      </c>
      <c r="K18" s="1310"/>
      <c r="L18" s="1309" t="s">
        <v>915</v>
      </c>
      <c r="M18" s="963">
        <v>5.4260000000000002</v>
      </c>
      <c r="N18" s="963">
        <v>0</v>
      </c>
      <c r="O18" s="964"/>
      <c r="P18" s="964"/>
      <c r="Q18" s="964"/>
      <c r="R18" s="964"/>
      <c r="S18" s="1163">
        <f>IF(SUM(O18:R18)=0,M18-N18,-SUM(O18:R18))</f>
        <v>5.4260000000000002</v>
      </c>
    </row>
    <row r="19" spans="1:19" ht="58" x14ac:dyDescent="0.35">
      <c r="A19" s="1162">
        <v>0</v>
      </c>
      <c r="B19" s="1307" t="s">
        <v>1622</v>
      </c>
      <c r="C19" s="1308">
        <v>0</v>
      </c>
      <c r="D19" s="1162">
        <v>0</v>
      </c>
      <c r="E19" s="1309" t="s">
        <v>915</v>
      </c>
      <c r="F19" s="964"/>
      <c r="G19" s="1309" t="str">
        <f t="shared" ref="G19:G21" si="3">E19</f>
        <v>-</v>
      </c>
      <c r="H19" s="1310"/>
      <c r="I19" s="1309" t="s">
        <v>915</v>
      </c>
      <c r="J19" s="1309" t="s">
        <v>915</v>
      </c>
      <c r="K19" s="1310"/>
      <c r="L19" s="1309" t="s">
        <v>915</v>
      </c>
      <c r="M19" s="963">
        <v>0</v>
      </c>
      <c r="N19" s="963">
        <v>0</v>
      </c>
      <c r="O19" s="964"/>
      <c r="P19" s="964"/>
      <c r="Q19" s="964"/>
      <c r="R19" s="964"/>
      <c r="S19" s="1163">
        <f t="shared" ref="S19:S21" si="4">IF(SUM(O19:R19)=0,M19-N19,-SUM(O19:R19))</f>
        <v>0</v>
      </c>
    </row>
    <row r="20" spans="1:19" ht="43.5" x14ac:dyDescent="0.35">
      <c r="A20" s="1162">
        <v>0</v>
      </c>
      <c r="B20" s="1307" t="s">
        <v>1621</v>
      </c>
      <c r="C20" s="1308">
        <v>0</v>
      </c>
      <c r="D20" s="1162">
        <v>0</v>
      </c>
      <c r="E20" s="1309" t="s">
        <v>915</v>
      </c>
      <c r="F20" s="964"/>
      <c r="G20" s="1309" t="str">
        <f t="shared" si="3"/>
        <v>-</v>
      </c>
      <c r="H20" s="1310"/>
      <c r="I20" s="1309" t="s">
        <v>915</v>
      </c>
      <c r="J20" s="1309" t="s">
        <v>915</v>
      </c>
      <c r="K20" s="1310"/>
      <c r="L20" s="1309" t="s">
        <v>915</v>
      </c>
      <c r="M20" s="963">
        <v>0.65</v>
      </c>
      <c r="N20" s="963">
        <v>0</v>
      </c>
      <c r="O20" s="964"/>
      <c r="P20" s="964"/>
      <c r="Q20" s="964"/>
      <c r="R20" s="964"/>
      <c r="S20" s="1163">
        <f t="shared" si="4"/>
        <v>0.65</v>
      </c>
    </row>
    <row r="21" spans="1:19" ht="58" x14ac:dyDescent="0.35">
      <c r="A21" s="1162">
        <v>0</v>
      </c>
      <c r="B21" s="1307" t="s">
        <v>1620</v>
      </c>
      <c r="C21" s="1308">
        <v>0</v>
      </c>
      <c r="D21" s="1162">
        <v>0</v>
      </c>
      <c r="E21" s="1309" t="s">
        <v>915</v>
      </c>
      <c r="F21" s="964"/>
      <c r="G21" s="1309" t="str">
        <f t="shared" si="3"/>
        <v>-</v>
      </c>
      <c r="H21" s="1310"/>
      <c r="I21" s="1309" t="s">
        <v>915</v>
      </c>
      <c r="J21" s="1309" t="s">
        <v>915</v>
      </c>
      <c r="K21" s="1310"/>
      <c r="L21" s="1309" t="s">
        <v>915</v>
      </c>
      <c r="M21" s="963">
        <v>3.8231999999999999</v>
      </c>
      <c r="N21" s="963">
        <v>0</v>
      </c>
      <c r="O21" s="964"/>
      <c r="P21" s="964"/>
      <c r="Q21" s="964"/>
      <c r="R21" s="964"/>
      <c r="S21" s="1163">
        <f t="shared" si="4"/>
        <v>3.8231999999999999</v>
      </c>
    </row>
    <row r="22" spans="1:19" ht="29" x14ac:dyDescent="0.35">
      <c r="A22" s="1155">
        <v>9</v>
      </c>
      <c r="B22" s="1303" t="s">
        <v>1619</v>
      </c>
      <c r="C22" s="1155" t="s">
        <v>896</v>
      </c>
      <c r="D22" s="1155" t="s">
        <v>1618</v>
      </c>
      <c r="E22" s="1304">
        <v>43061</v>
      </c>
      <c r="F22" s="966"/>
      <c r="G22" s="1305">
        <f t="shared" si="0"/>
        <v>43061</v>
      </c>
      <c r="H22" s="1305"/>
      <c r="I22" s="1305" t="s">
        <v>915</v>
      </c>
      <c r="J22" s="1305" t="s">
        <v>915</v>
      </c>
      <c r="K22" s="1305"/>
      <c r="L22" s="1305" t="s">
        <v>915</v>
      </c>
      <c r="M22" s="965">
        <v>0</v>
      </c>
      <c r="N22" s="965">
        <v>0</v>
      </c>
      <c r="O22" s="966"/>
      <c r="P22" s="966"/>
      <c r="Q22" s="966"/>
      <c r="R22" s="966"/>
      <c r="S22" s="1306">
        <f t="shared" si="1"/>
        <v>0</v>
      </c>
    </row>
    <row r="23" spans="1:19" ht="43.5" x14ac:dyDescent="0.35">
      <c r="A23" s="1162">
        <v>9.1</v>
      </c>
      <c r="B23" s="1307" t="s">
        <v>1617</v>
      </c>
      <c r="C23" s="1308" t="s">
        <v>898</v>
      </c>
      <c r="D23" s="1162" t="s">
        <v>1618</v>
      </c>
      <c r="E23" s="1309">
        <v>43061</v>
      </c>
      <c r="F23" s="964"/>
      <c r="G23" s="1309">
        <f t="shared" si="0"/>
        <v>43061</v>
      </c>
      <c r="H23" s="1310"/>
      <c r="I23" s="1309" t="s">
        <v>915</v>
      </c>
      <c r="J23" s="1309" t="s">
        <v>915</v>
      </c>
      <c r="K23" s="1310"/>
      <c r="L23" s="1309" t="s">
        <v>915</v>
      </c>
      <c r="M23" s="963">
        <v>3.7363539351999999</v>
      </c>
      <c r="N23" s="963">
        <v>3.6419878699999999</v>
      </c>
      <c r="O23" s="964"/>
      <c r="P23" s="964"/>
      <c r="Q23" s="964"/>
      <c r="R23" s="964"/>
      <c r="S23" s="1163">
        <f t="shared" si="1"/>
        <v>9.4366065200000016E-2</v>
      </c>
    </row>
    <row r="24" spans="1:19" ht="43.5" x14ac:dyDescent="0.35">
      <c r="A24" s="1162">
        <v>9.1999999999999993</v>
      </c>
      <c r="B24" s="1307" t="s">
        <v>1616</v>
      </c>
      <c r="C24" s="1308" t="s">
        <v>898</v>
      </c>
      <c r="D24" s="1162" t="s">
        <v>1618</v>
      </c>
      <c r="E24" s="1309">
        <v>43061</v>
      </c>
      <c r="F24" s="964"/>
      <c r="G24" s="1309">
        <f>E24</f>
        <v>43061</v>
      </c>
      <c r="H24" s="1310"/>
      <c r="I24" s="1309" t="s">
        <v>915</v>
      </c>
      <c r="J24" s="1309" t="s">
        <v>915</v>
      </c>
      <c r="K24" s="1310"/>
      <c r="L24" s="1309" t="s">
        <v>915</v>
      </c>
      <c r="M24" s="963">
        <v>0.50088049999999995</v>
      </c>
      <c r="N24" s="963">
        <v>0.11901328100000001</v>
      </c>
      <c r="O24" s="964"/>
      <c r="P24" s="964"/>
      <c r="Q24" s="964"/>
      <c r="R24" s="964"/>
      <c r="S24" s="1163">
        <f>IF(SUM(O24:R24)=0,M24-N24,-SUM(O24:R24))</f>
        <v>0.38186721899999992</v>
      </c>
    </row>
    <row r="25" spans="1:19" ht="43.5" x14ac:dyDescent="0.35">
      <c r="A25" s="1162">
        <v>9.3000000000000007</v>
      </c>
      <c r="B25" s="1307" t="s">
        <v>1615</v>
      </c>
      <c r="C25" s="1308" t="s">
        <v>898</v>
      </c>
      <c r="D25" s="1162" t="s">
        <v>1618</v>
      </c>
      <c r="E25" s="1309">
        <v>43061</v>
      </c>
      <c r="F25" s="964"/>
      <c r="G25" s="1309">
        <f>E25</f>
        <v>43061</v>
      </c>
      <c r="H25" s="1310"/>
      <c r="I25" s="1309" t="s">
        <v>915</v>
      </c>
      <c r="J25" s="1309" t="s">
        <v>915</v>
      </c>
      <c r="K25" s="1310"/>
      <c r="L25" s="1309" t="s">
        <v>915</v>
      </c>
      <c r="M25" s="963">
        <v>0.74832697199999998</v>
      </c>
      <c r="N25" s="963">
        <v>0.17</v>
      </c>
      <c r="O25" s="964"/>
      <c r="P25" s="964"/>
      <c r="Q25" s="964"/>
      <c r="R25" s="964"/>
      <c r="S25" s="1163">
        <f>IF(SUM(O25:R25)=0,M25-N25,-SUM(O25:R25))</f>
        <v>0.57832697199999994</v>
      </c>
    </row>
    <row r="26" spans="1:19" ht="58" x14ac:dyDescent="0.35">
      <c r="A26" s="1162">
        <v>9.4</v>
      </c>
      <c r="B26" s="1307" t="s">
        <v>1614</v>
      </c>
      <c r="C26" s="1308" t="s">
        <v>898</v>
      </c>
      <c r="D26" s="1162" t="s">
        <v>1618</v>
      </c>
      <c r="E26" s="1309">
        <v>43061</v>
      </c>
      <c r="F26" s="964"/>
      <c r="G26" s="1309">
        <f>E26</f>
        <v>43061</v>
      </c>
      <c r="H26" s="1310"/>
      <c r="I26" s="1309" t="s">
        <v>915</v>
      </c>
      <c r="J26" s="1309" t="s">
        <v>915</v>
      </c>
      <c r="K26" s="1310"/>
      <c r="L26" s="1309" t="s">
        <v>915</v>
      </c>
      <c r="M26" s="963">
        <v>9.5811028659999984</v>
      </c>
      <c r="N26" s="963">
        <v>4.0537161709999996</v>
      </c>
      <c r="O26" s="964"/>
      <c r="P26" s="964"/>
      <c r="Q26" s="964"/>
      <c r="R26" s="964"/>
      <c r="S26" s="1163">
        <f>IF(SUM(O26:R26)=0,M26-N26,-SUM(O26:R26))</f>
        <v>5.5273866949999988</v>
      </c>
    </row>
    <row r="27" spans="1:19" ht="43.5" x14ac:dyDescent="0.35">
      <c r="A27" s="1155">
        <v>10</v>
      </c>
      <c r="B27" s="1303" t="s">
        <v>1612</v>
      </c>
      <c r="C27" s="1155" t="s">
        <v>896</v>
      </c>
      <c r="D27" s="1155" t="s">
        <v>1613</v>
      </c>
      <c r="E27" s="1304">
        <v>43137</v>
      </c>
      <c r="F27" s="966"/>
      <c r="G27" s="1305">
        <f t="shared" si="0"/>
        <v>43137</v>
      </c>
      <c r="H27" s="1305"/>
      <c r="I27" s="1305" t="s">
        <v>915</v>
      </c>
      <c r="J27" s="1305" t="s">
        <v>915</v>
      </c>
      <c r="K27" s="1305"/>
      <c r="L27" s="1305" t="s">
        <v>915</v>
      </c>
      <c r="M27" s="965">
        <v>0</v>
      </c>
      <c r="N27" s="965">
        <v>0</v>
      </c>
      <c r="O27" s="966"/>
      <c r="P27" s="966"/>
      <c r="Q27" s="966"/>
      <c r="R27" s="966"/>
      <c r="S27" s="1306">
        <f t="shared" si="1"/>
        <v>0</v>
      </c>
    </row>
    <row r="28" spans="1:19" ht="43.5" x14ac:dyDescent="0.35">
      <c r="A28" s="1162">
        <v>10.1</v>
      </c>
      <c r="B28" s="1307" t="s">
        <v>1612</v>
      </c>
      <c r="C28" s="1308" t="s">
        <v>898</v>
      </c>
      <c r="D28" s="1162" t="s">
        <v>1613</v>
      </c>
      <c r="E28" s="1309">
        <v>43137</v>
      </c>
      <c r="F28" s="964"/>
      <c r="G28" s="1309">
        <f t="shared" si="0"/>
        <v>43137</v>
      </c>
      <c r="H28" s="1310"/>
      <c r="I28" s="1309" t="s">
        <v>915</v>
      </c>
      <c r="J28" s="1309" t="s">
        <v>915</v>
      </c>
      <c r="K28" s="1310"/>
      <c r="L28" s="1309" t="s">
        <v>915</v>
      </c>
      <c r="M28" s="963">
        <v>13.345000000000001</v>
      </c>
      <c r="N28" s="963">
        <v>0</v>
      </c>
      <c r="O28" s="964"/>
      <c r="P28" s="964"/>
      <c r="Q28" s="964"/>
      <c r="R28" s="964"/>
      <c r="S28" s="1163">
        <f t="shared" si="1"/>
        <v>13.345000000000001</v>
      </c>
    </row>
    <row r="29" spans="1:19" ht="29" x14ac:dyDescent="0.35">
      <c r="A29" s="1155">
        <v>14</v>
      </c>
      <c r="B29" s="1303" t="s">
        <v>922</v>
      </c>
      <c r="C29" s="1155" t="s">
        <v>896</v>
      </c>
      <c r="D29" s="1155" t="s">
        <v>923</v>
      </c>
      <c r="E29" s="1304">
        <v>44029</v>
      </c>
      <c r="F29" s="966"/>
      <c r="G29" s="1305">
        <f>E29</f>
        <v>44029</v>
      </c>
      <c r="H29" s="1305"/>
      <c r="I29" s="1305" t="s">
        <v>915</v>
      </c>
      <c r="J29" s="1305" t="s">
        <v>915</v>
      </c>
      <c r="K29" s="1305"/>
      <c r="L29" s="1305" t="s">
        <v>915</v>
      </c>
      <c r="M29" s="965">
        <v>0</v>
      </c>
      <c r="N29" s="965">
        <v>0</v>
      </c>
      <c r="O29" s="966"/>
      <c r="P29" s="966"/>
      <c r="Q29" s="966"/>
      <c r="R29" s="966"/>
      <c r="S29" s="1306">
        <f>IF(SUM(O29:R29)=0,M29-N29,-SUM(O29:R29))</f>
        <v>0</v>
      </c>
    </row>
    <row r="30" spans="1:19" ht="29" x14ac:dyDescent="0.35">
      <c r="A30" s="1162">
        <v>14.1</v>
      </c>
      <c r="B30" s="1307" t="s">
        <v>924</v>
      </c>
      <c r="C30" s="1308" t="s">
        <v>898</v>
      </c>
      <c r="D30" s="1162" t="s">
        <v>923</v>
      </c>
      <c r="E30" s="1309">
        <v>44029</v>
      </c>
      <c r="F30" s="964"/>
      <c r="G30" s="1309">
        <f t="shared" ref="G30:G40" si="5">E30</f>
        <v>44029</v>
      </c>
      <c r="H30" s="1310"/>
      <c r="I30" s="1309" t="s">
        <v>915</v>
      </c>
      <c r="J30" s="1309" t="s">
        <v>915</v>
      </c>
      <c r="K30" s="1310"/>
      <c r="L30" s="1309" t="s">
        <v>915</v>
      </c>
      <c r="M30" s="963">
        <v>0.10199999999999999</v>
      </c>
      <c r="N30" s="963">
        <v>0</v>
      </c>
      <c r="O30" s="964"/>
      <c r="P30" s="964"/>
      <c r="Q30" s="964"/>
      <c r="R30" s="964"/>
      <c r="S30" s="1163">
        <f t="shared" ref="S30:S40" si="6">IF(SUM(O30:R30)=0,M30-N30,-SUM(O30:R30))</f>
        <v>0.10199999999999999</v>
      </c>
    </row>
    <row r="31" spans="1:19" ht="43.5" x14ac:dyDescent="0.35">
      <c r="A31" s="1162">
        <v>14.2</v>
      </c>
      <c r="B31" s="1307" t="s">
        <v>1611</v>
      </c>
      <c r="C31" s="1308" t="s">
        <v>898</v>
      </c>
      <c r="D31" s="1162" t="s">
        <v>923</v>
      </c>
      <c r="E31" s="1309">
        <v>44029</v>
      </c>
      <c r="F31" s="964"/>
      <c r="G31" s="1309">
        <f t="shared" si="5"/>
        <v>44029</v>
      </c>
      <c r="H31" s="1310"/>
      <c r="I31" s="1309" t="s">
        <v>915</v>
      </c>
      <c r="J31" s="1309" t="s">
        <v>915</v>
      </c>
      <c r="K31" s="1310"/>
      <c r="L31" s="1309" t="s">
        <v>915</v>
      </c>
      <c r="M31" s="963">
        <v>0.17299999999999999</v>
      </c>
      <c r="N31" s="963">
        <v>0.11446000000000001</v>
      </c>
      <c r="O31" s="964"/>
      <c r="P31" s="964"/>
      <c r="Q31" s="964"/>
      <c r="R31" s="964"/>
      <c r="S31" s="1163">
        <f t="shared" si="6"/>
        <v>5.8539999999999981E-2</v>
      </c>
    </row>
    <row r="32" spans="1:19" ht="43.5" x14ac:dyDescent="0.35">
      <c r="A32" s="1162">
        <v>14.3</v>
      </c>
      <c r="B32" s="1307" t="s">
        <v>1610</v>
      </c>
      <c r="C32" s="1308" t="s">
        <v>898</v>
      </c>
      <c r="D32" s="1162" t="s">
        <v>923</v>
      </c>
      <c r="E32" s="1309">
        <v>44029</v>
      </c>
      <c r="F32" s="964"/>
      <c r="G32" s="1309">
        <f t="shared" si="5"/>
        <v>44029</v>
      </c>
      <c r="H32" s="1310"/>
      <c r="I32" s="1309" t="s">
        <v>915</v>
      </c>
      <c r="J32" s="1309" t="s">
        <v>915</v>
      </c>
      <c r="K32" s="1310"/>
      <c r="L32" s="1309" t="s">
        <v>915</v>
      </c>
      <c r="M32" s="963">
        <v>0.17299999999999999</v>
      </c>
      <c r="N32" s="963">
        <v>0.11446000000000001</v>
      </c>
      <c r="O32" s="964"/>
      <c r="P32" s="964"/>
      <c r="Q32" s="964"/>
      <c r="R32" s="964"/>
      <c r="S32" s="1163">
        <f t="shared" si="6"/>
        <v>5.8539999999999981E-2</v>
      </c>
    </row>
    <row r="33" spans="1:19" ht="29" x14ac:dyDescent="0.35">
      <c r="A33" s="1162">
        <v>14.4</v>
      </c>
      <c r="B33" s="1307" t="s">
        <v>1609</v>
      </c>
      <c r="C33" s="1308" t="s">
        <v>898</v>
      </c>
      <c r="D33" s="1162" t="s">
        <v>923</v>
      </c>
      <c r="E33" s="1309">
        <v>44029</v>
      </c>
      <c r="F33" s="964"/>
      <c r="G33" s="1309">
        <f t="shared" si="5"/>
        <v>44029</v>
      </c>
      <c r="H33" s="1310"/>
      <c r="I33" s="1309" t="s">
        <v>915</v>
      </c>
      <c r="J33" s="1309" t="s">
        <v>915</v>
      </c>
      <c r="K33" s="1310"/>
      <c r="L33" s="1309" t="s">
        <v>915</v>
      </c>
      <c r="M33" s="963">
        <v>5.8999999999999997E-2</v>
      </c>
      <c r="N33" s="963">
        <v>2.02455E-2</v>
      </c>
      <c r="O33" s="964"/>
      <c r="P33" s="964"/>
      <c r="Q33" s="964"/>
      <c r="R33" s="964"/>
      <c r="S33" s="1163">
        <f t="shared" si="6"/>
        <v>3.8754499999999997E-2</v>
      </c>
    </row>
    <row r="34" spans="1:19" ht="29" x14ac:dyDescent="0.35">
      <c r="A34" s="1162">
        <v>14.5</v>
      </c>
      <c r="B34" s="1307" t="s">
        <v>1608</v>
      </c>
      <c r="C34" s="1308" t="s">
        <v>898</v>
      </c>
      <c r="D34" s="1162" t="s">
        <v>923</v>
      </c>
      <c r="E34" s="1309">
        <v>44029</v>
      </c>
      <c r="F34" s="964"/>
      <c r="G34" s="1309">
        <f t="shared" si="5"/>
        <v>44029</v>
      </c>
      <c r="H34" s="1310"/>
      <c r="I34" s="1309" t="s">
        <v>915</v>
      </c>
      <c r="J34" s="1309" t="s">
        <v>915</v>
      </c>
      <c r="K34" s="1310"/>
      <c r="L34" s="1309" t="s">
        <v>915</v>
      </c>
      <c r="M34" s="963">
        <v>1.954</v>
      </c>
      <c r="N34" s="963">
        <v>0</v>
      </c>
      <c r="O34" s="964"/>
      <c r="P34" s="964"/>
      <c r="Q34" s="964"/>
      <c r="R34" s="964"/>
      <c r="S34" s="1163">
        <f t="shared" si="6"/>
        <v>1.954</v>
      </c>
    </row>
    <row r="35" spans="1:19" ht="43.5" x14ac:dyDescent="0.35">
      <c r="A35" s="1162">
        <v>14.6</v>
      </c>
      <c r="B35" s="1307" t="s">
        <v>1607</v>
      </c>
      <c r="C35" s="1308" t="s">
        <v>898</v>
      </c>
      <c r="D35" s="1162" t="s">
        <v>923</v>
      </c>
      <c r="E35" s="1309">
        <v>44029</v>
      </c>
      <c r="F35" s="964"/>
      <c r="G35" s="1309">
        <f t="shared" si="5"/>
        <v>44029</v>
      </c>
      <c r="H35" s="1310"/>
      <c r="I35" s="1309" t="s">
        <v>915</v>
      </c>
      <c r="J35" s="1309" t="s">
        <v>915</v>
      </c>
      <c r="K35" s="1310"/>
      <c r="L35" s="1309" t="s">
        <v>915</v>
      </c>
      <c r="M35" s="963">
        <v>2.0270000000000001</v>
      </c>
      <c r="N35" s="963">
        <v>2.0502972000000002</v>
      </c>
      <c r="O35" s="964"/>
      <c r="P35" s="964"/>
      <c r="Q35" s="964"/>
      <c r="R35" s="964"/>
      <c r="S35" s="1163">
        <f t="shared" si="6"/>
        <v>-2.3297200000000018E-2</v>
      </c>
    </row>
    <row r="36" spans="1:19" ht="43.5" x14ac:dyDescent="0.35">
      <c r="A36" s="1162">
        <v>14.7</v>
      </c>
      <c r="B36" s="1307" t="s">
        <v>1606</v>
      </c>
      <c r="C36" s="1308" t="s">
        <v>898</v>
      </c>
      <c r="D36" s="1162" t="s">
        <v>923</v>
      </c>
      <c r="E36" s="1309">
        <v>44029</v>
      </c>
      <c r="F36" s="964"/>
      <c r="G36" s="1309">
        <f t="shared" si="5"/>
        <v>44029</v>
      </c>
      <c r="H36" s="1310"/>
      <c r="I36" s="1309" t="s">
        <v>915</v>
      </c>
      <c r="J36" s="1309" t="s">
        <v>915</v>
      </c>
      <c r="K36" s="1310"/>
      <c r="L36" s="1309" t="s">
        <v>915</v>
      </c>
      <c r="M36" s="963">
        <v>0.87</v>
      </c>
      <c r="N36" s="963">
        <v>0</v>
      </c>
      <c r="O36" s="964"/>
      <c r="P36" s="964"/>
      <c r="Q36" s="964"/>
      <c r="R36" s="964"/>
      <c r="S36" s="1163">
        <f t="shared" si="6"/>
        <v>0.87</v>
      </c>
    </row>
    <row r="37" spans="1:19" ht="29" x14ac:dyDescent="0.35">
      <c r="A37" s="1162">
        <v>14.8</v>
      </c>
      <c r="B37" s="1307" t="s">
        <v>1605</v>
      </c>
      <c r="C37" s="1308" t="s">
        <v>898</v>
      </c>
      <c r="D37" s="1162" t="s">
        <v>923</v>
      </c>
      <c r="E37" s="1309">
        <v>44029</v>
      </c>
      <c r="F37" s="964"/>
      <c r="G37" s="1309">
        <f t="shared" si="5"/>
        <v>44029</v>
      </c>
      <c r="H37" s="1310"/>
      <c r="I37" s="1309" t="s">
        <v>915</v>
      </c>
      <c r="J37" s="1309" t="s">
        <v>915</v>
      </c>
      <c r="K37" s="1310"/>
      <c r="L37" s="1309" t="s">
        <v>915</v>
      </c>
      <c r="M37" s="963">
        <v>0.46700000000000003</v>
      </c>
      <c r="N37" s="963">
        <v>0</v>
      </c>
      <c r="O37" s="964"/>
      <c r="P37" s="964"/>
      <c r="Q37" s="964"/>
      <c r="R37" s="964"/>
      <c r="S37" s="1163">
        <f t="shared" si="6"/>
        <v>0.46700000000000003</v>
      </c>
    </row>
    <row r="38" spans="1:19" ht="43.5" x14ac:dyDescent="0.35">
      <c r="A38" s="1162">
        <v>14.9</v>
      </c>
      <c r="B38" s="1307" t="s">
        <v>1604</v>
      </c>
      <c r="C38" s="1308" t="s">
        <v>898</v>
      </c>
      <c r="D38" s="1162" t="s">
        <v>923</v>
      </c>
      <c r="E38" s="1309">
        <v>44029</v>
      </c>
      <c r="F38" s="964"/>
      <c r="G38" s="1309">
        <f t="shared" si="5"/>
        <v>44029</v>
      </c>
      <c r="H38" s="1310"/>
      <c r="I38" s="1309" t="s">
        <v>915</v>
      </c>
      <c r="J38" s="1309" t="s">
        <v>915</v>
      </c>
      <c r="K38" s="1310"/>
      <c r="L38" s="1309" t="s">
        <v>915</v>
      </c>
      <c r="M38" s="963">
        <v>0.69100000000000006</v>
      </c>
      <c r="N38" s="963">
        <v>0.69730939999999997</v>
      </c>
      <c r="O38" s="964"/>
      <c r="P38" s="964"/>
      <c r="Q38" s="964"/>
      <c r="R38" s="964"/>
      <c r="S38" s="1163">
        <f t="shared" si="6"/>
        <v>-6.3093999999999095E-3</v>
      </c>
    </row>
    <row r="39" spans="1:19" ht="29" x14ac:dyDescent="0.35">
      <c r="A39" s="1162">
        <v>14.1</v>
      </c>
      <c r="B39" s="1307" t="s">
        <v>1603</v>
      </c>
      <c r="C39" s="1308" t="s">
        <v>898</v>
      </c>
      <c r="D39" s="1162" t="s">
        <v>923</v>
      </c>
      <c r="E39" s="1309">
        <v>44029</v>
      </c>
      <c r="F39" s="964"/>
      <c r="G39" s="1309">
        <f t="shared" si="5"/>
        <v>44029</v>
      </c>
      <c r="H39" s="1310"/>
      <c r="I39" s="1309" t="s">
        <v>915</v>
      </c>
      <c r="J39" s="1309" t="s">
        <v>915</v>
      </c>
      <c r="K39" s="1310"/>
      <c r="L39" s="1309" t="s">
        <v>915</v>
      </c>
      <c r="M39" s="963">
        <v>1.5469999999999999</v>
      </c>
      <c r="N39" s="963">
        <v>0</v>
      </c>
      <c r="O39" s="964"/>
      <c r="P39" s="964"/>
      <c r="Q39" s="964"/>
      <c r="R39" s="964"/>
      <c r="S39" s="1163">
        <f t="shared" si="6"/>
        <v>1.5469999999999999</v>
      </c>
    </row>
    <row r="40" spans="1:19" ht="29" x14ac:dyDescent="0.35">
      <c r="A40" s="1162">
        <v>0</v>
      </c>
      <c r="B40" s="1307" t="s">
        <v>419</v>
      </c>
      <c r="C40" s="1308" t="s">
        <v>419</v>
      </c>
      <c r="D40" s="1162" t="s">
        <v>923</v>
      </c>
      <c r="E40" s="1309">
        <v>44029</v>
      </c>
      <c r="F40" s="964"/>
      <c r="G40" s="1309">
        <f t="shared" si="5"/>
        <v>44029</v>
      </c>
      <c r="H40" s="1310"/>
      <c r="I40" s="1309" t="s">
        <v>915</v>
      </c>
      <c r="J40" s="1309" t="s">
        <v>915</v>
      </c>
      <c r="K40" s="1310"/>
      <c r="L40" s="1309" t="s">
        <v>915</v>
      </c>
      <c r="M40" s="963">
        <v>0.85</v>
      </c>
      <c r="N40" s="963">
        <v>0</v>
      </c>
      <c r="O40" s="964"/>
      <c r="P40" s="964"/>
      <c r="Q40" s="964"/>
      <c r="R40" s="964"/>
      <c r="S40" s="1163">
        <f t="shared" si="6"/>
        <v>0.85</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1:E13 G11:L13 D30:E40 G30:L40">
    <cfRule type="containsText" dxfId="229" priority="17" operator="containsText" text="DPR not submitted">
      <formula>NOT(ISERROR(SEARCH("DPR not submitted",D11)))</formula>
    </cfRule>
    <cfRule type="containsText" dxfId="228" priority="18" operator="containsText" text="Yet to be approved">
      <formula>NOT(ISERROR(SEARCH("Yet to be approved",D11)))</formula>
    </cfRule>
  </conditionalFormatting>
  <conditionalFormatting sqref="D15:D21">
    <cfRule type="containsText" dxfId="227" priority="63" operator="containsText" text="DPR not submitted">
      <formula>NOT(ISERROR(SEARCH("DPR not submitted",D15)))</formula>
    </cfRule>
    <cfRule type="containsText" dxfId="226" priority="64" operator="containsText" text="Yet to be approved">
      <formula>NOT(ISERROR(SEARCH("Yet to be approved",D15)))</formula>
    </cfRule>
  </conditionalFormatting>
  <conditionalFormatting sqref="E15:E21">
    <cfRule type="containsText" dxfId="225" priority="65" operator="containsText" text="DPR not submitted">
      <formula>NOT(ISERROR(SEARCH("DPR not submitted",E15)))</formula>
    </cfRule>
    <cfRule type="containsText" dxfId="224" priority="66" operator="containsText" text="Yet to be approved">
      <formula>NOT(ISERROR(SEARCH("Yet to be approved",E15)))</formula>
    </cfRule>
  </conditionalFormatting>
  <conditionalFormatting sqref="D23:D26">
    <cfRule type="containsText" dxfId="223" priority="59" operator="containsText" text="DPR not submitted">
      <formula>NOT(ISERROR(SEARCH("DPR not submitted",D23)))</formula>
    </cfRule>
    <cfRule type="containsText" dxfId="222" priority="60" operator="containsText" text="Yet to be approved">
      <formula>NOT(ISERROR(SEARCH("Yet to be approved",D23)))</formula>
    </cfRule>
  </conditionalFormatting>
  <conditionalFormatting sqref="E23:E26">
    <cfRule type="containsText" dxfId="221" priority="61" operator="containsText" text="DPR not submitted">
      <formula>NOT(ISERROR(SEARCH("DPR not submitted",E23)))</formula>
    </cfRule>
    <cfRule type="containsText" dxfId="220" priority="62" operator="containsText" text="Yet to be approved">
      <formula>NOT(ISERROR(SEARCH("Yet to be approved",E23)))</formula>
    </cfRule>
  </conditionalFormatting>
  <conditionalFormatting sqref="D28">
    <cfRule type="containsText" dxfId="219" priority="55" operator="containsText" text="DPR not submitted">
      <formula>NOT(ISERROR(SEARCH("DPR not submitted",D28)))</formula>
    </cfRule>
    <cfRule type="containsText" dxfId="218" priority="56" operator="containsText" text="Yet to be approved">
      <formula>NOT(ISERROR(SEARCH("Yet to be approved",D28)))</formula>
    </cfRule>
  </conditionalFormatting>
  <conditionalFormatting sqref="E28">
    <cfRule type="containsText" dxfId="217" priority="57" operator="containsText" text="DPR not submitted">
      <formula>NOT(ISERROR(SEARCH("DPR not submitted",E28)))</formula>
    </cfRule>
    <cfRule type="containsText" dxfId="216" priority="58" operator="containsText" text="Yet to be approved">
      <formula>NOT(ISERROR(SEARCH("Yet to be approved",E28)))</formula>
    </cfRule>
  </conditionalFormatting>
  <conditionalFormatting sqref="G15:G21">
    <cfRule type="containsText" dxfId="215" priority="53" operator="containsText" text="DPR not submitted">
      <formula>NOT(ISERROR(SEARCH("DPR not submitted",G15)))</formula>
    </cfRule>
    <cfRule type="containsText" dxfId="214" priority="54" operator="containsText" text="Yet to be approved">
      <formula>NOT(ISERROR(SEARCH("Yet to be approved",G15)))</formula>
    </cfRule>
  </conditionalFormatting>
  <conditionalFormatting sqref="G23:G26">
    <cfRule type="containsText" dxfId="213" priority="51" operator="containsText" text="DPR not submitted">
      <formula>NOT(ISERROR(SEARCH("DPR not submitted",G23)))</formula>
    </cfRule>
    <cfRule type="containsText" dxfId="212" priority="52" operator="containsText" text="Yet to be approved">
      <formula>NOT(ISERROR(SEARCH("Yet to be approved",G23)))</formula>
    </cfRule>
  </conditionalFormatting>
  <conditionalFormatting sqref="G28">
    <cfRule type="containsText" dxfId="211" priority="49" operator="containsText" text="DPR not submitted">
      <formula>NOT(ISERROR(SEARCH("DPR not submitted",G28)))</formula>
    </cfRule>
    <cfRule type="containsText" dxfId="210" priority="50" operator="containsText" text="Yet to be approved">
      <formula>NOT(ISERROR(SEARCH("Yet to be approved",G28)))</formula>
    </cfRule>
  </conditionalFormatting>
  <conditionalFormatting sqref="H15:H21">
    <cfRule type="containsText" dxfId="209" priority="47" operator="containsText" text="DPR not submitted">
      <formula>NOT(ISERROR(SEARCH("DPR not submitted",H15)))</formula>
    </cfRule>
    <cfRule type="containsText" dxfId="208" priority="48" operator="containsText" text="Yet to be approved">
      <formula>NOT(ISERROR(SEARCH("Yet to be approved",H15)))</formula>
    </cfRule>
  </conditionalFormatting>
  <conditionalFormatting sqref="H23:H26">
    <cfRule type="containsText" dxfId="207" priority="45" operator="containsText" text="DPR not submitted">
      <formula>NOT(ISERROR(SEARCH("DPR not submitted",H23)))</formula>
    </cfRule>
    <cfRule type="containsText" dxfId="206" priority="46" operator="containsText" text="Yet to be approved">
      <formula>NOT(ISERROR(SEARCH("Yet to be approved",H23)))</formula>
    </cfRule>
  </conditionalFormatting>
  <conditionalFormatting sqref="H28">
    <cfRule type="containsText" dxfId="205" priority="43" operator="containsText" text="DPR not submitted">
      <formula>NOT(ISERROR(SEARCH("DPR not submitted",H28)))</formula>
    </cfRule>
    <cfRule type="containsText" dxfId="204" priority="44" operator="containsText" text="Yet to be approved">
      <formula>NOT(ISERROR(SEARCH("Yet to be approved",H28)))</formula>
    </cfRule>
  </conditionalFormatting>
  <conditionalFormatting sqref="I15:I21">
    <cfRule type="containsText" dxfId="203" priority="41" operator="containsText" text="DPR not submitted">
      <formula>NOT(ISERROR(SEARCH("DPR not submitted",I15)))</formula>
    </cfRule>
    <cfRule type="containsText" dxfId="202" priority="42" operator="containsText" text="Yet to be approved">
      <formula>NOT(ISERROR(SEARCH("Yet to be approved",I15)))</formula>
    </cfRule>
  </conditionalFormatting>
  <conditionalFormatting sqref="I23:I26">
    <cfRule type="containsText" dxfId="201" priority="39" operator="containsText" text="DPR not submitted">
      <formula>NOT(ISERROR(SEARCH("DPR not submitted",I23)))</formula>
    </cfRule>
    <cfRule type="containsText" dxfId="200" priority="40" operator="containsText" text="Yet to be approved">
      <formula>NOT(ISERROR(SEARCH("Yet to be approved",I23)))</formula>
    </cfRule>
  </conditionalFormatting>
  <conditionalFormatting sqref="I28">
    <cfRule type="containsText" dxfId="199" priority="37" operator="containsText" text="DPR not submitted">
      <formula>NOT(ISERROR(SEARCH("DPR not submitted",I28)))</formula>
    </cfRule>
    <cfRule type="containsText" dxfId="198" priority="38" operator="containsText" text="Yet to be approved">
      <formula>NOT(ISERROR(SEARCH("Yet to be approved",I28)))</formula>
    </cfRule>
  </conditionalFormatting>
  <conditionalFormatting sqref="J15:J21">
    <cfRule type="containsText" dxfId="197" priority="35" operator="containsText" text="DPR not submitted">
      <formula>NOT(ISERROR(SEARCH("DPR not submitted",J15)))</formula>
    </cfRule>
    <cfRule type="containsText" dxfId="196" priority="36" operator="containsText" text="Yet to be approved">
      <formula>NOT(ISERROR(SEARCH("Yet to be approved",J15)))</formula>
    </cfRule>
  </conditionalFormatting>
  <conditionalFormatting sqref="J23:J26">
    <cfRule type="containsText" dxfId="195" priority="33" operator="containsText" text="DPR not submitted">
      <formula>NOT(ISERROR(SEARCH("DPR not submitted",J23)))</formula>
    </cfRule>
    <cfRule type="containsText" dxfId="194" priority="34" operator="containsText" text="Yet to be approved">
      <formula>NOT(ISERROR(SEARCH("Yet to be approved",J23)))</formula>
    </cfRule>
  </conditionalFormatting>
  <conditionalFormatting sqref="J28">
    <cfRule type="containsText" dxfId="193" priority="31" operator="containsText" text="DPR not submitted">
      <formula>NOT(ISERROR(SEARCH("DPR not submitted",J28)))</formula>
    </cfRule>
    <cfRule type="containsText" dxfId="192" priority="32" operator="containsText" text="Yet to be approved">
      <formula>NOT(ISERROR(SEARCH("Yet to be approved",J28)))</formula>
    </cfRule>
  </conditionalFormatting>
  <conditionalFormatting sqref="L15:L21">
    <cfRule type="containsText" dxfId="191" priority="29" operator="containsText" text="DPR not submitted">
      <formula>NOT(ISERROR(SEARCH("DPR not submitted",L15)))</formula>
    </cfRule>
    <cfRule type="containsText" dxfId="190" priority="30" operator="containsText" text="Yet to be approved">
      <formula>NOT(ISERROR(SEARCH("Yet to be approved",L15)))</formula>
    </cfRule>
  </conditionalFormatting>
  <conditionalFormatting sqref="L23:L26">
    <cfRule type="containsText" dxfId="189" priority="27" operator="containsText" text="DPR not submitted">
      <formula>NOT(ISERROR(SEARCH("DPR not submitted",L23)))</formula>
    </cfRule>
    <cfRule type="containsText" dxfId="188" priority="28" operator="containsText" text="Yet to be approved">
      <formula>NOT(ISERROR(SEARCH("Yet to be approved",L23)))</formula>
    </cfRule>
  </conditionalFormatting>
  <conditionalFormatting sqref="L28">
    <cfRule type="containsText" dxfId="187" priority="25" operator="containsText" text="DPR not submitted">
      <formula>NOT(ISERROR(SEARCH("DPR not submitted",L28)))</formula>
    </cfRule>
    <cfRule type="containsText" dxfId="186" priority="26" operator="containsText" text="Yet to be approved">
      <formula>NOT(ISERROR(SEARCH("Yet to be approved",L28)))</formula>
    </cfRule>
  </conditionalFormatting>
  <conditionalFormatting sqref="K15:K21">
    <cfRule type="containsText" dxfId="185" priority="23" operator="containsText" text="DPR not submitted">
      <formula>NOT(ISERROR(SEARCH("DPR not submitted",K15)))</formula>
    </cfRule>
    <cfRule type="containsText" dxfId="184" priority="24" operator="containsText" text="Yet to be approved">
      <formula>NOT(ISERROR(SEARCH("Yet to be approved",K15)))</formula>
    </cfRule>
  </conditionalFormatting>
  <conditionalFormatting sqref="K23:K26">
    <cfRule type="containsText" dxfId="183" priority="21" operator="containsText" text="DPR not submitted">
      <formula>NOT(ISERROR(SEARCH("DPR not submitted",K23)))</formula>
    </cfRule>
    <cfRule type="containsText" dxfId="182" priority="22" operator="containsText" text="Yet to be approved">
      <formula>NOT(ISERROR(SEARCH("Yet to be approved",K23)))</formula>
    </cfRule>
  </conditionalFormatting>
  <conditionalFormatting sqref="K28">
    <cfRule type="containsText" dxfId="181" priority="19" operator="containsText" text="DPR not submitted">
      <formula>NOT(ISERROR(SEARCH("DPR not submitted",K28)))</formula>
    </cfRule>
    <cfRule type="containsText" dxfId="180" priority="20" operator="containsText" text="Yet to be approved">
      <formula>NOT(ISERROR(SEARCH("Yet to be approved",K28)))</formula>
    </cfRule>
  </conditionalFormatting>
  <conditionalFormatting sqref="S28 S1:S9 S23:S26 S11:S13 S30:S65541 S15:S21">
    <cfRule type="cellIs" dxfId="179" priority="16" operator="lessThan">
      <formula>0</formula>
    </cfRule>
  </conditionalFormatting>
  <conditionalFormatting sqref="D10">
    <cfRule type="containsText" dxfId="178" priority="14" operator="containsText" text="DPR not submitted">
      <formula>NOT(ISERROR(SEARCH("DPR not submitted",D10)))</formula>
    </cfRule>
    <cfRule type="containsText" dxfId="177" priority="15" operator="containsText" text="Yet to be approved">
      <formula>NOT(ISERROR(SEARCH("Yet to be approved",D10)))</formula>
    </cfRule>
  </conditionalFormatting>
  <conditionalFormatting sqref="S10">
    <cfRule type="cellIs" dxfId="176" priority="13" operator="lessThan">
      <formula>0</formula>
    </cfRule>
  </conditionalFormatting>
  <conditionalFormatting sqref="D14">
    <cfRule type="containsText" dxfId="175" priority="11" operator="containsText" text="DPR not submitted">
      <formula>NOT(ISERROR(SEARCH("DPR not submitted",D14)))</formula>
    </cfRule>
    <cfRule type="containsText" dxfId="174" priority="12" operator="containsText" text="Yet to be approved">
      <formula>NOT(ISERROR(SEARCH("Yet to be approved",D14)))</formula>
    </cfRule>
  </conditionalFormatting>
  <conditionalFormatting sqref="S14">
    <cfRule type="cellIs" dxfId="173" priority="10" operator="lessThan">
      <formula>0</formula>
    </cfRule>
  </conditionalFormatting>
  <conditionalFormatting sqref="D22">
    <cfRule type="containsText" dxfId="172" priority="8" operator="containsText" text="DPR not submitted">
      <formula>NOT(ISERROR(SEARCH("DPR not submitted",D22)))</formula>
    </cfRule>
    <cfRule type="containsText" dxfId="171" priority="9" operator="containsText" text="Yet to be approved">
      <formula>NOT(ISERROR(SEARCH("Yet to be approved",D22)))</formula>
    </cfRule>
  </conditionalFormatting>
  <conditionalFormatting sqref="S22">
    <cfRule type="cellIs" dxfId="170" priority="7" operator="lessThan">
      <formula>0</formula>
    </cfRule>
  </conditionalFormatting>
  <conditionalFormatting sqref="D27">
    <cfRule type="containsText" dxfId="169" priority="5" operator="containsText" text="DPR not submitted">
      <formula>NOT(ISERROR(SEARCH("DPR not submitted",D27)))</formula>
    </cfRule>
    <cfRule type="containsText" dxfId="168" priority="6" operator="containsText" text="Yet to be approved">
      <formula>NOT(ISERROR(SEARCH("Yet to be approved",D27)))</formula>
    </cfRule>
  </conditionalFormatting>
  <conditionalFormatting sqref="S27">
    <cfRule type="cellIs" dxfId="167" priority="4" operator="lessThan">
      <formula>0</formula>
    </cfRule>
  </conditionalFormatting>
  <conditionalFormatting sqref="D29">
    <cfRule type="containsText" dxfId="166" priority="2" operator="containsText" text="DPR not submitted">
      <formula>NOT(ISERROR(SEARCH("DPR not submitted",D29)))</formula>
    </cfRule>
    <cfRule type="containsText" dxfId="165" priority="3" operator="containsText" text="Yet to be approved">
      <formula>NOT(ISERROR(SEARCH("Yet to be approved",D29)))</formula>
    </cfRule>
  </conditionalFormatting>
  <conditionalFormatting sqref="S29">
    <cfRule type="cellIs" dxfId="164" priority="1" operator="lessThan">
      <formula>0</formula>
    </cfRule>
  </conditionalFormatting>
  <pageMargins left="0.47244094488188981" right="0.19685039370078741" top="0.39370078740157483" bottom="0.35433070866141736" header="0.23622047244094491" footer="0.23622047244094491"/>
  <pageSetup paperSize="9" scale="61" fitToHeight="2" orientation="landscape" r:id="rId1"/>
  <headerFooter alignWithMargins="0">
    <oddHeader>&amp;F</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C106"/>
  <sheetViews>
    <sheetView view="pageBreakPreview" zoomScale="80" zoomScaleNormal="80" zoomScaleSheetLayoutView="80" workbookViewId="0">
      <pane xSplit="2" ySplit="6" topLeftCell="L102" activePane="bottomRight" state="frozen"/>
      <selection activeCell="N10" sqref="N10:N32"/>
      <selection pane="topRight" activeCell="N10" sqref="N10:N32"/>
      <selection pane="bottomLeft" activeCell="N10" sqref="N10:N32"/>
      <selection pane="bottomRight" activeCell="U103" sqref="U103"/>
    </sheetView>
  </sheetViews>
  <sheetFormatPr defaultRowHeight="15.5" outlineLevelRow="1" outlineLevelCol="1" x14ac:dyDescent="0.25"/>
  <cols>
    <col min="1" max="1" width="7.7265625" style="1168" bestFit="1" customWidth="1"/>
    <col min="2" max="2" width="74.453125" style="1013" customWidth="1"/>
    <col min="3" max="3" width="10.26953125" style="1168" customWidth="1" outlineLevel="1"/>
    <col min="4" max="4" width="35" style="1168" customWidth="1" outlineLevel="1"/>
    <col min="5" max="5" width="14" style="1181" customWidth="1" outlineLevel="1"/>
    <col min="6" max="6" width="14" style="1182" customWidth="1" outlineLevel="1"/>
    <col min="7" max="7" width="14" style="1013" customWidth="1" outlineLevel="1"/>
    <col min="8" max="8" width="14" style="1013" customWidth="1"/>
    <col min="9" max="10" width="14" style="1013" customWidth="1" outlineLevel="1"/>
    <col min="11" max="11" width="14" style="1181" customWidth="1" outlineLevel="1"/>
    <col min="12" max="14" width="14" style="1013" customWidth="1" outlineLevel="1"/>
    <col min="15" max="15" width="29.81640625" style="1013" bestFit="1" customWidth="1"/>
    <col min="16" max="16" width="9.54296875" style="1183" hidden="1" customWidth="1"/>
    <col min="17" max="19" width="9.7265625" style="1184" hidden="1" customWidth="1"/>
    <col min="20" max="26" width="9.7265625" style="1184" customWidth="1" outlineLevel="1"/>
    <col min="27" max="27" width="9.7265625" style="1184" customWidth="1"/>
    <col min="28" max="28" width="9.7265625" style="1185" customWidth="1" outlineLevel="1"/>
    <col min="29" max="34" width="9.7265625" style="1186" customWidth="1" outlineLevel="1"/>
    <col min="35" max="37" width="9.7265625" style="1184" customWidth="1" outlineLevel="1"/>
    <col min="38" max="38" width="9.7265625" style="1184" customWidth="1"/>
    <col min="39" max="39" width="12.26953125" style="1187" hidden="1" customWidth="1"/>
    <col min="40" max="42" width="12.26953125" style="1188" hidden="1" customWidth="1"/>
    <col min="43" max="46" width="12.26953125" style="1188" customWidth="1" outlineLevel="1"/>
    <col min="47" max="50" width="9.7265625" style="1184" customWidth="1" outlineLevel="1"/>
    <col min="51" max="51" width="18.26953125" style="1188" customWidth="1" outlineLevel="1"/>
    <col min="52" max="52" width="11.54296875" style="1013" customWidth="1"/>
    <col min="53" max="53" width="12.7265625" style="1168" customWidth="1"/>
    <col min="54" max="54" width="15.26953125" style="1013" customWidth="1"/>
    <col min="55" max="55" width="12.54296875" style="1013" customWidth="1"/>
    <col min="56" max="56" width="13.453125" style="1013" customWidth="1"/>
    <col min="57" max="57" width="13.54296875" style="1013" customWidth="1"/>
    <col min="58" max="60" width="8.7265625" style="1013"/>
    <col min="61" max="61" width="11.26953125" style="1013" customWidth="1"/>
    <col min="62" max="268" width="8.7265625" style="1013"/>
    <col min="269" max="269" width="7.7265625" style="1013" bestFit="1" customWidth="1"/>
    <col min="270" max="270" width="74.453125" style="1013" customWidth="1"/>
    <col min="271" max="271" width="10.26953125" style="1013" customWidth="1"/>
    <col min="272" max="272" width="35" style="1013" customWidth="1"/>
    <col min="273" max="283" width="14" style="1013" customWidth="1"/>
    <col min="284" max="297" width="9.7265625" style="1013" customWidth="1"/>
    <col min="298" max="304" width="12.26953125" style="1013" customWidth="1"/>
    <col min="305" max="305" width="18.26953125" style="1013" customWidth="1"/>
    <col min="306" max="306" width="11.54296875" style="1013" customWidth="1"/>
    <col min="307" max="309" width="12.7265625" style="1013" customWidth="1"/>
    <col min="310" max="310" width="15.26953125" style="1013" customWidth="1"/>
    <col min="311" max="311" width="12.54296875" style="1013" customWidth="1"/>
    <col min="312" max="312" width="13.453125" style="1013" customWidth="1"/>
    <col min="313" max="313" width="13.54296875" style="1013" customWidth="1"/>
    <col min="314" max="316" width="8.7265625" style="1013"/>
    <col min="317" max="317" width="11.26953125" style="1013" customWidth="1"/>
    <col min="318" max="524" width="8.7265625" style="1013"/>
    <col min="525" max="525" width="7.7265625" style="1013" bestFit="1" customWidth="1"/>
    <col min="526" max="526" width="74.453125" style="1013" customWidth="1"/>
    <col min="527" max="527" width="10.26953125" style="1013" customWidth="1"/>
    <col min="528" max="528" width="35" style="1013" customWidth="1"/>
    <col min="529" max="539" width="14" style="1013" customWidth="1"/>
    <col min="540" max="553" width="9.7265625" style="1013" customWidth="1"/>
    <col min="554" max="560" width="12.26953125" style="1013" customWidth="1"/>
    <col min="561" max="561" width="18.26953125" style="1013" customWidth="1"/>
    <col min="562" max="562" width="11.54296875" style="1013" customWidth="1"/>
    <col min="563" max="565" width="12.7265625" style="1013" customWidth="1"/>
    <col min="566" max="566" width="15.26953125" style="1013" customWidth="1"/>
    <col min="567" max="567" width="12.54296875" style="1013" customWidth="1"/>
    <col min="568" max="568" width="13.453125" style="1013" customWidth="1"/>
    <col min="569" max="569" width="13.54296875" style="1013" customWidth="1"/>
    <col min="570" max="572" width="8.7265625" style="1013"/>
    <col min="573" max="573" width="11.26953125" style="1013" customWidth="1"/>
    <col min="574" max="780" width="8.7265625" style="1013"/>
    <col min="781" max="781" width="7.7265625" style="1013" bestFit="1" customWidth="1"/>
    <col min="782" max="782" width="74.453125" style="1013" customWidth="1"/>
    <col min="783" max="783" width="10.26953125" style="1013" customWidth="1"/>
    <col min="784" max="784" width="35" style="1013" customWidth="1"/>
    <col min="785" max="795" width="14" style="1013" customWidth="1"/>
    <col min="796" max="809" width="9.7265625" style="1013" customWidth="1"/>
    <col min="810" max="816" width="12.26953125" style="1013" customWidth="1"/>
    <col min="817" max="817" width="18.26953125" style="1013" customWidth="1"/>
    <col min="818" max="818" width="11.54296875" style="1013" customWidth="1"/>
    <col min="819" max="821" width="12.7265625" style="1013" customWidth="1"/>
    <col min="822" max="822" width="15.26953125" style="1013" customWidth="1"/>
    <col min="823" max="823" width="12.54296875" style="1013" customWidth="1"/>
    <col min="824" max="824" width="13.453125" style="1013" customWidth="1"/>
    <col min="825" max="825" width="13.54296875" style="1013" customWidth="1"/>
    <col min="826" max="828" width="8.7265625" style="1013"/>
    <col min="829" max="829" width="11.26953125" style="1013" customWidth="1"/>
    <col min="830" max="1036" width="8.7265625" style="1013"/>
    <col min="1037" max="1037" width="7.7265625" style="1013" bestFit="1" customWidth="1"/>
    <col min="1038" max="1038" width="74.453125" style="1013" customWidth="1"/>
    <col min="1039" max="1039" width="10.26953125" style="1013" customWidth="1"/>
    <col min="1040" max="1040" width="35" style="1013" customWidth="1"/>
    <col min="1041" max="1051" width="14" style="1013" customWidth="1"/>
    <col min="1052" max="1065" width="9.7265625" style="1013" customWidth="1"/>
    <col min="1066" max="1072" width="12.26953125" style="1013" customWidth="1"/>
    <col min="1073" max="1073" width="18.26953125" style="1013" customWidth="1"/>
    <col min="1074" max="1074" width="11.54296875" style="1013" customWidth="1"/>
    <col min="1075" max="1077" width="12.7265625" style="1013" customWidth="1"/>
    <col min="1078" max="1078" width="15.26953125" style="1013" customWidth="1"/>
    <col min="1079" max="1079" width="12.54296875" style="1013" customWidth="1"/>
    <col min="1080" max="1080" width="13.453125" style="1013" customWidth="1"/>
    <col min="1081" max="1081" width="13.54296875" style="1013" customWidth="1"/>
    <col min="1082" max="1084" width="8.7265625" style="1013"/>
    <col min="1085" max="1085" width="11.26953125" style="1013" customWidth="1"/>
    <col min="1086" max="1292" width="8.7265625" style="1013"/>
    <col min="1293" max="1293" width="7.7265625" style="1013" bestFit="1" customWidth="1"/>
    <col min="1294" max="1294" width="74.453125" style="1013" customWidth="1"/>
    <col min="1295" max="1295" width="10.26953125" style="1013" customWidth="1"/>
    <col min="1296" max="1296" width="35" style="1013" customWidth="1"/>
    <col min="1297" max="1307" width="14" style="1013" customWidth="1"/>
    <col min="1308" max="1321" width="9.7265625" style="1013" customWidth="1"/>
    <col min="1322" max="1328" width="12.26953125" style="1013" customWidth="1"/>
    <col min="1329" max="1329" width="18.26953125" style="1013" customWidth="1"/>
    <col min="1330" max="1330" width="11.54296875" style="1013" customWidth="1"/>
    <col min="1331" max="1333" width="12.7265625" style="1013" customWidth="1"/>
    <col min="1334" max="1334" width="15.26953125" style="1013" customWidth="1"/>
    <col min="1335" max="1335" width="12.54296875" style="1013" customWidth="1"/>
    <col min="1336" max="1336" width="13.453125" style="1013" customWidth="1"/>
    <col min="1337" max="1337" width="13.54296875" style="1013" customWidth="1"/>
    <col min="1338" max="1340" width="8.7265625" style="1013"/>
    <col min="1341" max="1341" width="11.26953125" style="1013" customWidth="1"/>
    <col min="1342" max="1548" width="8.7265625" style="1013"/>
    <col min="1549" max="1549" width="7.7265625" style="1013" bestFit="1" customWidth="1"/>
    <col min="1550" max="1550" width="74.453125" style="1013" customWidth="1"/>
    <col min="1551" max="1551" width="10.26953125" style="1013" customWidth="1"/>
    <col min="1552" max="1552" width="35" style="1013" customWidth="1"/>
    <col min="1553" max="1563" width="14" style="1013" customWidth="1"/>
    <col min="1564" max="1577" width="9.7265625" style="1013" customWidth="1"/>
    <col min="1578" max="1584" width="12.26953125" style="1013" customWidth="1"/>
    <col min="1585" max="1585" width="18.26953125" style="1013" customWidth="1"/>
    <col min="1586" max="1586" width="11.54296875" style="1013" customWidth="1"/>
    <col min="1587" max="1589" width="12.7265625" style="1013" customWidth="1"/>
    <col min="1590" max="1590" width="15.26953125" style="1013" customWidth="1"/>
    <col min="1591" max="1591" width="12.54296875" style="1013" customWidth="1"/>
    <col min="1592" max="1592" width="13.453125" style="1013" customWidth="1"/>
    <col min="1593" max="1593" width="13.54296875" style="1013" customWidth="1"/>
    <col min="1594" max="1596" width="8.7265625" style="1013"/>
    <col min="1597" max="1597" width="11.26953125" style="1013" customWidth="1"/>
    <col min="1598" max="1804" width="8.7265625" style="1013"/>
    <col min="1805" max="1805" width="7.7265625" style="1013" bestFit="1" customWidth="1"/>
    <col min="1806" max="1806" width="74.453125" style="1013" customWidth="1"/>
    <col min="1807" max="1807" width="10.26953125" style="1013" customWidth="1"/>
    <col min="1808" max="1808" width="35" style="1013" customWidth="1"/>
    <col min="1809" max="1819" width="14" style="1013" customWidth="1"/>
    <col min="1820" max="1833" width="9.7265625" style="1013" customWidth="1"/>
    <col min="1834" max="1840" width="12.26953125" style="1013" customWidth="1"/>
    <col min="1841" max="1841" width="18.26953125" style="1013" customWidth="1"/>
    <col min="1842" max="1842" width="11.54296875" style="1013" customWidth="1"/>
    <col min="1843" max="1845" width="12.7265625" style="1013" customWidth="1"/>
    <col min="1846" max="1846" width="15.26953125" style="1013" customWidth="1"/>
    <col min="1847" max="1847" width="12.54296875" style="1013" customWidth="1"/>
    <col min="1848" max="1848" width="13.453125" style="1013" customWidth="1"/>
    <col min="1849" max="1849" width="13.54296875" style="1013" customWidth="1"/>
    <col min="1850" max="1852" width="8.7265625" style="1013"/>
    <col min="1853" max="1853" width="11.26953125" style="1013" customWidth="1"/>
    <col min="1854" max="2060" width="8.7265625" style="1013"/>
    <col min="2061" max="2061" width="7.7265625" style="1013" bestFit="1" customWidth="1"/>
    <col min="2062" max="2062" width="74.453125" style="1013" customWidth="1"/>
    <col min="2063" max="2063" width="10.26953125" style="1013" customWidth="1"/>
    <col min="2064" max="2064" width="35" style="1013" customWidth="1"/>
    <col min="2065" max="2075" width="14" style="1013" customWidth="1"/>
    <col min="2076" max="2089" width="9.7265625" style="1013" customWidth="1"/>
    <col min="2090" max="2096" width="12.26953125" style="1013" customWidth="1"/>
    <col min="2097" max="2097" width="18.26953125" style="1013" customWidth="1"/>
    <col min="2098" max="2098" width="11.54296875" style="1013" customWidth="1"/>
    <col min="2099" max="2101" width="12.7265625" style="1013" customWidth="1"/>
    <col min="2102" max="2102" width="15.26953125" style="1013" customWidth="1"/>
    <col min="2103" max="2103" width="12.54296875" style="1013" customWidth="1"/>
    <col min="2104" max="2104" width="13.453125" style="1013" customWidth="1"/>
    <col min="2105" max="2105" width="13.54296875" style="1013" customWidth="1"/>
    <col min="2106" max="2108" width="8.7265625" style="1013"/>
    <col min="2109" max="2109" width="11.26953125" style="1013" customWidth="1"/>
    <col min="2110" max="2316" width="8.7265625" style="1013"/>
    <col min="2317" max="2317" width="7.7265625" style="1013" bestFit="1" customWidth="1"/>
    <col min="2318" max="2318" width="74.453125" style="1013" customWidth="1"/>
    <col min="2319" max="2319" width="10.26953125" style="1013" customWidth="1"/>
    <col min="2320" max="2320" width="35" style="1013" customWidth="1"/>
    <col min="2321" max="2331" width="14" style="1013" customWidth="1"/>
    <col min="2332" max="2345" width="9.7265625" style="1013" customWidth="1"/>
    <col min="2346" max="2352" width="12.26953125" style="1013" customWidth="1"/>
    <col min="2353" max="2353" width="18.26953125" style="1013" customWidth="1"/>
    <col min="2354" max="2354" width="11.54296875" style="1013" customWidth="1"/>
    <col min="2355" max="2357" width="12.7265625" style="1013" customWidth="1"/>
    <col min="2358" max="2358" width="15.26953125" style="1013" customWidth="1"/>
    <col min="2359" max="2359" width="12.54296875" style="1013" customWidth="1"/>
    <col min="2360" max="2360" width="13.453125" style="1013" customWidth="1"/>
    <col min="2361" max="2361" width="13.54296875" style="1013" customWidth="1"/>
    <col min="2362" max="2364" width="8.7265625" style="1013"/>
    <col min="2365" max="2365" width="11.26953125" style="1013" customWidth="1"/>
    <col min="2366" max="2572" width="8.7265625" style="1013"/>
    <col min="2573" max="2573" width="7.7265625" style="1013" bestFit="1" customWidth="1"/>
    <col min="2574" max="2574" width="74.453125" style="1013" customWidth="1"/>
    <col min="2575" max="2575" width="10.26953125" style="1013" customWidth="1"/>
    <col min="2576" max="2576" width="35" style="1013" customWidth="1"/>
    <col min="2577" max="2587" width="14" style="1013" customWidth="1"/>
    <col min="2588" max="2601" width="9.7265625" style="1013" customWidth="1"/>
    <col min="2602" max="2608" width="12.26953125" style="1013" customWidth="1"/>
    <col min="2609" max="2609" width="18.26953125" style="1013" customWidth="1"/>
    <col min="2610" max="2610" width="11.54296875" style="1013" customWidth="1"/>
    <col min="2611" max="2613" width="12.7265625" style="1013" customWidth="1"/>
    <col min="2614" max="2614" width="15.26953125" style="1013" customWidth="1"/>
    <col min="2615" max="2615" width="12.54296875" style="1013" customWidth="1"/>
    <col min="2616" max="2616" width="13.453125" style="1013" customWidth="1"/>
    <col min="2617" max="2617" width="13.54296875" style="1013" customWidth="1"/>
    <col min="2618" max="2620" width="8.7265625" style="1013"/>
    <col min="2621" max="2621" width="11.26953125" style="1013" customWidth="1"/>
    <col min="2622" max="2828" width="8.7265625" style="1013"/>
    <col min="2829" max="2829" width="7.7265625" style="1013" bestFit="1" customWidth="1"/>
    <col min="2830" max="2830" width="74.453125" style="1013" customWidth="1"/>
    <col min="2831" max="2831" width="10.26953125" style="1013" customWidth="1"/>
    <col min="2832" max="2832" width="35" style="1013" customWidth="1"/>
    <col min="2833" max="2843" width="14" style="1013" customWidth="1"/>
    <col min="2844" max="2857" width="9.7265625" style="1013" customWidth="1"/>
    <col min="2858" max="2864" width="12.26953125" style="1013" customWidth="1"/>
    <col min="2865" max="2865" width="18.26953125" style="1013" customWidth="1"/>
    <col min="2866" max="2866" width="11.54296875" style="1013" customWidth="1"/>
    <col min="2867" max="2869" width="12.7265625" style="1013" customWidth="1"/>
    <col min="2870" max="2870" width="15.26953125" style="1013" customWidth="1"/>
    <col min="2871" max="2871" width="12.54296875" style="1013" customWidth="1"/>
    <col min="2872" max="2872" width="13.453125" style="1013" customWidth="1"/>
    <col min="2873" max="2873" width="13.54296875" style="1013" customWidth="1"/>
    <col min="2874" max="2876" width="8.7265625" style="1013"/>
    <col min="2877" max="2877" width="11.26953125" style="1013" customWidth="1"/>
    <col min="2878" max="3084" width="8.7265625" style="1013"/>
    <col min="3085" max="3085" width="7.7265625" style="1013" bestFit="1" customWidth="1"/>
    <col min="3086" max="3086" width="74.453125" style="1013" customWidth="1"/>
    <col min="3087" max="3087" width="10.26953125" style="1013" customWidth="1"/>
    <col min="3088" max="3088" width="35" style="1013" customWidth="1"/>
    <col min="3089" max="3099" width="14" style="1013" customWidth="1"/>
    <col min="3100" max="3113" width="9.7265625" style="1013" customWidth="1"/>
    <col min="3114" max="3120" width="12.26953125" style="1013" customWidth="1"/>
    <col min="3121" max="3121" width="18.26953125" style="1013" customWidth="1"/>
    <col min="3122" max="3122" width="11.54296875" style="1013" customWidth="1"/>
    <col min="3123" max="3125" width="12.7265625" style="1013" customWidth="1"/>
    <col min="3126" max="3126" width="15.26953125" style="1013" customWidth="1"/>
    <col min="3127" max="3127" width="12.54296875" style="1013" customWidth="1"/>
    <col min="3128" max="3128" width="13.453125" style="1013" customWidth="1"/>
    <col min="3129" max="3129" width="13.54296875" style="1013" customWidth="1"/>
    <col min="3130" max="3132" width="8.7265625" style="1013"/>
    <col min="3133" max="3133" width="11.26953125" style="1013" customWidth="1"/>
    <col min="3134" max="3340" width="8.7265625" style="1013"/>
    <col min="3341" max="3341" width="7.7265625" style="1013" bestFit="1" customWidth="1"/>
    <col min="3342" max="3342" width="74.453125" style="1013" customWidth="1"/>
    <col min="3343" max="3343" width="10.26953125" style="1013" customWidth="1"/>
    <col min="3344" max="3344" width="35" style="1013" customWidth="1"/>
    <col min="3345" max="3355" width="14" style="1013" customWidth="1"/>
    <col min="3356" max="3369" width="9.7265625" style="1013" customWidth="1"/>
    <col min="3370" max="3376" width="12.26953125" style="1013" customWidth="1"/>
    <col min="3377" max="3377" width="18.26953125" style="1013" customWidth="1"/>
    <col min="3378" max="3378" width="11.54296875" style="1013" customWidth="1"/>
    <col min="3379" max="3381" width="12.7265625" style="1013" customWidth="1"/>
    <col min="3382" max="3382" width="15.26953125" style="1013" customWidth="1"/>
    <col min="3383" max="3383" width="12.54296875" style="1013" customWidth="1"/>
    <col min="3384" max="3384" width="13.453125" style="1013" customWidth="1"/>
    <col min="3385" max="3385" width="13.54296875" style="1013" customWidth="1"/>
    <col min="3386" max="3388" width="8.7265625" style="1013"/>
    <col min="3389" max="3389" width="11.26953125" style="1013" customWidth="1"/>
    <col min="3390" max="3596" width="8.7265625" style="1013"/>
    <col min="3597" max="3597" width="7.7265625" style="1013" bestFit="1" customWidth="1"/>
    <col min="3598" max="3598" width="74.453125" style="1013" customWidth="1"/>
    <col min="3599" max="3599" width="10.26953125" style="1013" customWidth="1"/>
    <col min="3600" max="3600" width="35" style="1013" customWidth="1"/>
    <col min="3601" max="3611" width="14" style="1013" customWidth="1"/>
    <col min="3612" max="3625" width="9.7265625" style="1013" customWidth="1"/>
    <col min="3626" max="3632" width="12.26953125" style="1013" customWidth="1"/>
    <col min="3633" max="3633" width="18.26953125" style="1013" customWidth="1"/>
    <col min="3634" max="3634" width="11.54296875" style="1013" customWidth="1"/>
    <col min="3635" max="3637" width="12.7265625" style="1013" customWidth="1"/>
    <col min="3638" max="3638" width="15.26953125" style="1013" customWidth="1"/>
    <col min="3639" max="3639" width="12.54296875" style="1013" customWidth="1"/>
    <col min="3640" max="3640" width="13.453125" style="1013" customWidth="1"/>
    <col min="3641" max="3641" width="13.54296875" style="1013" customWidth="1"/>
    <col min="3642" max="3644" width="8.7265625" style="1013"/>
    <col min="3645" max="3645" width="11.26953125" style="1013" customWidth="1"/>
    <col min="3646" max="3852" width="8.7265625" style="1013"/>
    <col min="3853" max="3853" width="7.7265625" style="1013" bestFit="1" customWidth="1"/>
    <col min="3854" max="3854" width="74.453125" style="1013" customWidth="1"/>
    <col min="3855" max="3855" width="10.26953125" style="1013" customWidth="1"/>
    <col min="3856" max="3856" width="35" style="1013" customWidth="1"/>
    <col min="3857" max="3867" width="14" style="1013" customWidth="1"/>
    <col min="3868" max="3881" width="9.7265625" style="1013" customWidth="1"/>
    <col min="3882" max="3888" width="12.26953125" style="1013" customWidth="1"/>
    <col min="3889" max="3889" width="18.26953125" style="1013" customWidth="1"/>
    <col min="3890" max="3890" width="11.54296875" style="1013" customWidth="1"/>
    <col min="3891" max="3893" width="12.7265625" style="1013" customWidth="1"/>
    <col min="3894" max="3894" width="15.26953125" style="1013" customWidth="1"/>
    <col min="3895" max="3895" width="12.54296875" style="1013" customWidth="1"/>
    <col min="3896" max="3896" width="13.453125" style="1013" customWidth="1"/>
    <col min="3897" max="3897" width="13.54296875" style="1013" customWidth="1"/>
    <col min="3898" max="3900" width="8.7265625" style="1013"/>
    <col min="3901" max="3901" width="11.26953125" style="1013" customWidth="1"/>
    <col min="3902" max="4108" width="8.7265625" style="1013"/>
    <col min="4109" max="4109" width="7.7265625" style="1013" bestFit="1" customWidth="1"/>
    <col min="4110" max="4110" width="74.453125" style="1013" customWidth="1"/>
    <col min="4111" max="4111" width="10.26953125" style="1013" customWidth="1"/>
    <col min="4112" max="4112" width="35" style="1013" customWidth="1"/>
    <col min="4113" max="4123" width="14" style="1013" customWidth="1"/>
    <col min="4124" max="4137" width="9.7265625" style="1013" customWidth="1"/>
    <col min="4138" max="4144" width="12.26953125" style="1013" customWidth="1"/>
    <col min="4145" max="4145" width="18.26953125" style="1013" customWidth="1"/>
    <col min="4146" max="4146" width="11.54296875" style="1013" customWidth="1"/>
    <col min="4147" max="4149" width="12.7265625" style="1013" customWidth="1"/>
    <col min="4150" max="4150" width="15.26953125" style="1013" customWidth="1"/>
    <col min="4151" max="4151" width="12.54296875" style="1013" customWidth="1"/>
    <col min="4152" max="4152" width="13.453125" style="1013" customWidth="1"/>
    <col min="4153" max="4153" width="13.54296875" style="1013" customWidth="1"/>
    <col min="4154" max="4156" width="8.7265625" style="1013"/>
    <col min="4157" max="4157" width="11.26953125" style="1013" customWidth="1"/>
    <col min="4158" max="4364" width="8.7265625" style="1013"/>
    <col min="4365" max="4365" width="7.7265625" style="1013" bestFit="1" customWidth="1"/>
    <col min="4366" max="4366" width="74.453125" style="1013" customWidth="1"/>
    <col min="4367" max="4367" width="10.26953125" style="1013" customWidth="1"/>
    <col min="4368" max="4368" width="35" style="1013" customWidth="1"/>
    <col min="4369" max="4379" width="14" style="1013" customWidth="1"/>
    <col min="4380" max="4393" width="9.7265625" style="1013" customWidth="1"/>
    <col min="4394" max="4400" width="12.26953125" style="1013" customWidth="1"/>
    <col min="4401" max="4401" width="18.26953125" style="1013" customWidth="1"/>
    <col min="4402" max="4402" width="11.54296875" style="1013" customWidth="1"/>
    <col min="4403" max="4405" width="12.7265625" style="1013" customWidth="1"/>
    <col min="4406" max="4406" width="15.26953125" style="1013" customWidth="1"/>
    <col min="4407" max="4407" width="12.54296875" style="1013" customWidth="1"/>
    <col min="4408" max="4408" width="13.453125" style="1013" customWidth="1"/>
    <col min="4409" max="4409" width="13.54296875" style="1013" customWidth="1"/>
    <col min="4410" max="4412" width="8.7265625" style="1013"/>
    <col min="4413" max="4413" width="11.26953125" style="1013" customWidth="1"/>
    <col min="4414" max="4620" width="8.7265625" style="1013"/>
    <col min="4621" max="4621" width="7.7265625" style="1013" bestFit="1" customWidth="1"/>
    <col min="4622" max="4622" width="74.453125" style="1013" customWidth="1"/>
    <col min="4623" max="4623" width="10.26953125" style="1013" customWidth="1"/>
    <col min="4624" max="4624" width="35" style="1013" customWidth="1"/>
    <col min="4625" max="4635" width="14" style="1013" customWidth="1"/>
    <col min="4636" max="4649" width="9.7265625" style="1013" customWidth="1"/>
    <col min="4650" max="4656" width="12.26953125" style="1013" customWidth="1"/>
    <col min="4657" max="4657" width="18.26953125" style="1013" customWidth="1"/>
    <col min="4658" max="4658" width="11.54296875" style="1013" customWidth="1"/>
    <col min="4659" max="4661" width="12.7265625" style="1013" customWidth="1"/>
    <col min="4662" max="4662" width="15.26953125" style="1013" customWidth="1"/>
    <col min="4663" max="4663" width="12.54296875" style="1013" customWidth="1"/>
    <col min="4664" max="4664" width="13.453125" style="1013" customWidth="1"/>
    <col min="4665" max="4665" width="13.54296875" style="1013" customWidth="1"/>
    <col min="4666" max="4668" width="8.7265625" style="1013"/>
    <col min="4669" max="4669" width="11.26953125" style="1013" customWidth="1"/>
    <col min="4670" max="4876" width="8.7265625" style="1013"/>
    <col min="4877" max="4877" width="7.7265625" style="1013" bestFit="1" customWidth="1"/>
    <col min="4878" max="4878" width="74.453125" style="1013" customWidth="1"/>
    <col min="4879" max="4879" width="10.26953125" style="1013" customWidth="1"/>
    <col min="4880" max="4880" width="35" style="1013" customWidth="1"/>
    <col min="4881" max="4891" width="14" style="1013" customWidth="1"/>
    <col min="4892" max="4905" width="9.7265625" style="1013" customWidth="1"/>
    <col min="4906" max="4912" width="12.26953125" style="1013" customWidth="1"/>
    <col min="4913" max="4913" width="18.26953125" style="1013" customWidth="1"/>
    <col min="4914" max="4914" width="11.54296875" style="1013" customWidth="1"/>
    <col min="4915" max="4917" width="12.7265625" style="1013" customWidth="1"/>
    <col min="4918" max="4918" width="15.26953125" style="1013" customWidth="1"/>
    <col min="4919" max="4919" width="12.54296875" style="1013" customWidth="1"/>
    <col min="4920" max="4920" width="13.453125" style="1013" customWidth="1"/>
    <col min="4921" max="4921" width="13.54296875" style="1013" customWidth="1"/>
    <col min="4922" max="4924" width="8.7265625" style="1013"/>
    <col min="4925" max="4925" width="11.26953125" style="1013" customWidth="1"/>
    <col min="4926" max="5132" width="8.7265625" style="1013"/>
    <col min="5133" max="5133" width="7.7265625" style="1013" bestFit="1" customWidth="1"/>
    <col min="5134" max="5134" width="74.453125" style="1013" customWidth="1"/>
    <col min="5135" max="5135" width="10.26953125" style="1013" customWidth="1"/>
    <col min="5136" max="5136" width="35" style="1013" customWidth="1"/>
    <col min="5137" max="5147" width="14" style="1013" customWidth="1"/>
    <col min="5148" max="5161" width="9.7265625" style="1013" customWidth="1"/>
    <col min="5162" max="5168" width="12.26953125" style="1013" customWidth="1"/>
    <col min="5169" max="5169" width="18.26953125" style="1013" customWidth="1"/>
    <col min="5170" max="5170" width="11.54296875" style="1013" customWidth="1"/>
    <col min="5171" max="5173" width="12.7265625" style="1013" customWidth="1"/>
    <col min="5174" max="5174" width="15.26953125" style="1013" customWidth="1"/>
    <col min="5175" max="5175" width="12.54296875" style="1013" customWidth="1"/>
    <col min="5176" max="5176" width="13.453125" style="1013" customWidth="1"/>
    <col min="5177" max="5177" width="13.54296875" style="1013" customWidth="1"/>
    <col min="5178" max="5180" width="8.7265625" style="1013"/>
    <col min="5181" max="5181" width="11.26953125" style="1013" customWidth="1"/>
    <col min="5182" max="5388" width="8.7265625" style="1013"/>
    <col min="5389" max="5389" width="7.7265625" style="1013" bestFit="1" customWidth="1"/>
    <col min="5390" max="5390" width="74.453125" style="1013" customWidth="1"/>
    <col min="5391" max="5391" width="10.26953125" style="1013" customWidth="1"/>
    <col min="5392" max="5392" width="35" style="1013" customWidth="1"/>
    <col min="5393" max="5403" width="14" style="1013" customWidth="1"/>
    <col min="5404" max="5417" width="9.7265625" style="1013" customWidth="1"/>
    <col min="5418" max="5424" width="12.26953125" style="1013" customWidth="1"/>
    <col min="5425" max="5425" width="18.26953125" style="1013" customWidth="1"/>
    <col min="5426" max="5426" width="11.54296875" style="1013" customWidth="1"/>
    <col min="5427" max="5429" width="12.7265625" style="1013" customWidth="1"/>
    <col min="5430" max="5430" width="15.26953125" style="1013" customWidth="1"/>
    <col min="5431" max="5431" width="12.54296875" style="1013" customWidth="1"/>
    <col min="5432" max="5432" width="13.453125" style="1013" customWidth="1"/>
    <col min="5433" max="5433" width="13.54296875" style="1013" customWidth="1"/>
    <col min="5434" max="5436" width="8.7265625" style="1013"/>
    <col min="5437" max="5437" width="11.26953125" style="1013" customWidth="1"/>
    <col min="5438" max="5644" width="8.7265625" style="1013"/>
    <col min="5645" max="5645" width="7.7265625" style="1013" bestFit="1" customWidth="1"/>
    <col min="5646" max="5646" width="74.453125" style="1013" customWidth="1"/>
    <col min="5647" max="5647" width="10.26953125" style="1013" customWidth="1"/>
    <col min="5648" max="5648" width="35" style="1013" customWidth="1"/>
    <col min="5649" max="5659" width="14" style="1013" customWidth="1"/>
    <col min="5660" max="5673" width="9.7265625" style="1013" customWidth="1"/>
    <col min="5674" max="5680" width="12.26953125" style="1013" customWidth="1"/>
    <col min="5681" max="5681" width="18.26953125" style="1013" customWidth="1"/>
    <col min="5682" max="5682" width="11.54296875" style="1013" customWidth="1"/>
    <col min="5683" max="5685" width="12.7265625" style="1013" customWidth="1"/>
    <col min="5686" max="5686" width="15.26953125" style="1013" customWidth="1"/>
    <col min="5687" max="5687" width="12.54296875" style="1013" customWidth="1"/>
    <col min="5688" max="5688" width="13.453125" style="1013" customWidth="1"/>
    <col min="5689" max="5689" width="13.54296875" style="1013" customWidth="1"/>
    <col min="5690" max="5692" width="8.7265625" style="1013"/>
    <col min="5693" max="5693" width="11.26953125" style="1013" customWidth="1"/>
    <col min="5694" max="5900" width="8.7265625" style="1013"/>
    <col min="5901" max="5901" width="7.7265625" style="1013" bestFit="1" customWidth="1"/>
    <col min="5902" max="5902" width="74.453125" style="1013" customWidth="1"/>
    <col min="5903" max="5903" width="10.26953125" style="1013" customWidth="1"/>
    <col min="5904" max="5904" width="35" style="1013" customWidth="1"/>
    <col min="5905" max="5915" width="14" style="1013" customWidth="1"/>
    <col min="5916" max="5929" width="9.7265625" style="1013" customWidth="1"/>
    <col min="5930" max="5936" width="12.26953125" style="1013" customWidth="1"/>
    <col min="5937" max="5937" width="18.26953125" style="1013" customWidth="1"/>
    <col min="5938" max="5938" width="11.54296875" style="1013" customWidth="1"/>
    <col min="5939" max="5941" width="12.7265625" style="1013" customWidth="1"/>
    <col min="5942" max="5942" width="15.26953125" style="1013" customWidth="1"/>
    <col min="5943" max="5943" width="12.54296875" style="1013" customWidth="1"/>
    <col min="5944" max="5944" width="13.453125" style="1013" customWidth="1"/>
    <col min="5945" max="5945" width="13.54296875" style="1013" customWidth="1"/>
    <col min="5946" max="5948" width="8.7265625" style="1013"/>
    <col min="5949" max="5949" width="11.26953125" style="1013" customWidth="1"/>
    <col min="5950" max="6156" width="8.7265625" style="1013"/>
    <col min="6157" max="6157" width="7.7265625" style="1013" bestFit="1" customWidth="1"/>
    <col min="6158" max="6158" width="74.453125" style="1013" customWidth="1"/>
    <col min="6159" max="6159" width="10.26953125" style="1013" customWidth="1"/>
    <col min="6160" max="6160" width="35" style="1013" customWidth="1"/>
    <col min="6161" max="6171" width="14" style="1013" customWidth="1"/>
    <col min="6172" max="6185" width="9.7265625" style="1013" customWidth="1"/>
    <col min="6186" max="6192" width="12.26953125" style="1013" customWidth="1"/>
    <col min="6193" max="6193" width="18.26953125" style="1013" customWidth="1"/>
    <col min="6194" max="6194" width="11.54296875" style="1013" customWidth="1"/>
    <col min="6195" max="6197" width="12.7265625" style="1013" customWidth="1"/>
    <col min="6198" max="6198" width="15.26953125" style="1013" customWidth="1"/>
    <col min="6199" max="6199" width="12.54296875" style="1013" customWidth="1"/>
    <col min="6200" max="6200" width="13.453125" style="1013" customWidth="1"/>
    <col min="6201" max="6201" width="13.54296875" style="1013" customWidth="1"/>
    <col min="6202" max="6204" width="8.7265625" style="1013"/>
    <col min="6205" max="6205" width="11.26953125" style="1013" customWidth="1"/>
    <col min="6206" max="6412" width="8.7265625" style="1013"/>
    <col min="6413" max="6413" width="7.7265625" style="1013" bestFit="1" customWidth="1"/>
    <col min="6414" max="6414" width="74.453125" style="1013" customWidth="1"/>
    <col min="6415" max="6415" width="10.26953125" style="1013" customWidth="1"/>
    <col min="6416" max="6416" width="35" style="1013" customWidth="1"/>
    <col min="6417" max="6427" width="14" style="1013" customWidth="1"/>
    <col min="6428" max="6441" width="9.7265625" style="1013" customWidth="1"/>
    <col min="6442" max="6448" width="12.26953125" style="1013" customWidth="1"/>
    <col min="6449" max="6449" width="18.26953125" style="1013" customWidth="1"/>
    <col min="6450" max="6450" width="11.54296875" style="1013" customWidth="1"/>
    <col min="6451" max="6453" width="12.7265625" style="1013" customWidth="1"/>
    <col min="6454" max="6454" width="15.26953125" style="1013" customWidth="1"/>
    <col min="6455" max="6455" width="12.54296875" style="1013" customWidth="1"/>
    <col min="6456" max="6456" width="13.453125" style="1013" customWidth="1"/>
    <col min="6457" max="6457" width="13.54296875" style="1013" customWidth="1"/>
    <col min="6458" max="6460" width="8.7265625" style="1013"/>
    <col min="6461" max="6461" width="11.26953125" style="1013" customWidth="1"/>
    <col min="6462" max="6668" width="8.7265625" style="1013"/>
    <col min="6669" max="6669" width="7.7265625" style="1013" bestFit="1" customWidth="1"/>
    <col min="6670" max="6670" width="74.453125" style="1013" customWidth="1"/>
    <col min="6671" max="6671" width="10.26953125" style="1013" customWidth="1"/>
    <col min="6672" max="6672" width="35" style="1013" customWidth="1"/>
    <col min="6673" max="6683" width="14" style="1013" customWidth="1"/>
    <col min="6684" max="6697" width="9.7265625" style="1013" customWidth="1"/>
    <col min="6698" max="6704" width="12.26953125" style="1013" customWidth="1"/>
    <col min="6705" max="6705" width="18.26953125" style="1013" customWidth="1"/>
    <col min="6706" max="6706" width="11.54296875" style="1013" customWidth="1"/>
    <col min="6707" max="6709" width="12.7265625" style="1013" customWidth="1"/>
    <col min="6710" max="6710" width="15.26953125" style="1013" customWidth="1"/>
    <col min="6711" max="6711" width="12.54296875" style="1013" customWidth="1"/>
    <col min="6712" max="6712" width="13.453125" style="1013" customWidth="1"/>
    <col min="6713" max="6713" width="13.54296875" style="1013" customWidth="1"/>
    <col min="6714" max="6716" width="8.7265625" style="1013"/>
    <col min="6717" max="6717" width="11.26953125" style="1013" customWidth="1"/>
    <col min="6718" max="6924" width="8.7265625" style="1013"/>
    <col min="6925" max="6925" width="7.7265625" style="1013" bestFit="1" customWidth="1"/>
    <col min="6926" max="6926" width="74.453125" style="1013" customWidth="1"/>
    <col min="6927" max="6927" width="10.26953125" style="1013" customWidth="1"/>
    <col min="6928" max="6928" width="35" style="1013" customWidth="1"/>
    <col min="6929" max="6939" width="14" style="1013" customWidth="1"/>
    <col min="6940" max="6953" width="9.7265625" style="1013" customWidth="1"/>
    <col min="6954" max="6960" width="12.26953125" style="1013" customWidth="1"/>
    <col min="6961" max="6961" width="18.26953125" style="1013" customWidth="1"/>
    <col min="6962" max="6962" width="11.54296875" style="1013" customWidth="1"/>
    <col min="6963" max="6965" width="12.7265625" style="1013" customWidth="1"/>
    <col min="6966" max="6966" width="15.26953125" style="1013" customWidth="1"/>
    <col min="6967" max="6967" width="12.54296875" style="1013" customWidth="1"/>
    <col min="6968" max="6968" width="13.453125" style="1013" customWidth="1"/>
    <col min="6969" max="6969" width="13.54296875" style="1013" customWidth="1"/>
    <col min="6970" max="6972" width="8.7265625" style="1013"/>
    <col min="6973" max="6973" width="11.26953125" style="1013" customWidth="1"/>
    <col min="6974" max="7180" width="8.7265625" style="1013"/>
    <col min="7181" max="7181" width="7.7265625" style="1013" bestFit="1" customWidth="1"/>
    <col min="7182" max="7182" width="74.453125" style="1013" customWidth="1"/>
    <col min="7183" max="7183" width="10.26953125" style="1013" customWidth="1"/>
    <col min="7184" max="7184" width="35" style="1013" customWidth="1"/>
    <col min="7185" max="7195" width="14" style="1013" customWidth="1"/>
    <col min="7196" max="7209" width="9.7265625" style="1013" customWidth="1"/>
    <col min="7210" max="7216" width="12.26953125" style="1013" customWidth="1"/>
    <col min="7217" max="7217" width="18.26953125" style="1013" customWidth="1"/>
    <col min="7218" max="7218" width="11.54296875" style="1013" customWidth="1"/>
    <col min="7219" max="7221" width="12.7265625" style="1013" customWidth="1"/>
    <col min="7222" max="7222" width="15.26953125" style="1013" customWidth="1"/>
    <col min="7223" max="7223" width="12.54296875" style="1013" customWidth="1"/>
    <col min="7224" max="7224" width="13.453125" style="1013" customWidth="1"/>
    <col min="7225" max="7225" width="13.54296875" style="1013" customWidth="1"/>
    <col min="7226" max="7228" width="8.7265625" style="1013"/>
    <col min="7229" max="7229" width="11.26953125" style="1013" customWidth="1"/>
    <col min="7230" max="7436" width="8.7265625" style="1013"/>
    <col min="7437" max="7437" width="7.7265625" style="1013" bestFit="1" customWidth="1"/>
    <col min="7438" max="7438" width="74.453125" style="1013" customWidth="1"/>
    <col min="7439" max="7439" width="10.26953125" style="1013" customWidth="1"/>
    <col min="7440" max="7440" width="35" style="1013" customWidth="1"/>
    <col min="7441" max="7451" width="14" style="1013" customWidth="1"/>
    <col min="7452" max="7465" width="9.7265625" style="1013" customWidth="1"/>
    <col min="7466" max="7472" width="12.26953125" style="1013" customWidth="1"/>
    <col min="7473" max="7473" width="18.26953125" style="1013" customWidth="1"/>
    <col min="7474" max="7474" width="11.54296875" style="1013" customWidth="1"/>
    <col min="7475" max="7477" width="12.7265625" style="1013" customWidth="1"/>
    <col min="7478" max="7478" width="15.26953125" style="1013" customWidth="1"/>
    <col min="7479" max="7479" width="12.54296875" style="1013" customWidth="1"/>
    <col min="7480" max="7480" width="13.453125" style="1013" customWidth="1"/>
    <col min="7481" max="7481" width="13.54296875" style="1013" customWidth="1"/>
    <col min="7482" max="7484" width="8.7265625" style="1013"/>
    <col min="7485" max="7485" width="11.26953125" style="1013" customWidth="1"/>
    <col min="7486" max="7692" width="8.7265625" style="1013"/>
    <col min="7693" max="7693" width="7.7265625" style="1013" bestFit="1" customWidth="1"/>
    <col min="7694" max="7694" width="74.453125" style="1013" customWidth="1"/>
    <col min="7695" max="7695" width="10.26953125" style="1013" customWidth="1"/>
    <col min="7696" max="7696" width="35" style="1013" customWidth="1"/>
    <col min="7697" max="7707" width="14" style="1013" customWidth="1"/>
    <col min="7708" max="7721" width="9.7265625" style="1013" customWidth="1"/>
    <col min="7722" max="7728" width="12.26953125" style="1013" customWidth="1"/>
    <col min="7729" max="7729" width="18.26953125" style="1013" customWidth="1"/>
    <col min="7730" max="7730" width="11.54296875" style="1013" customWidth="1"/>
    <col min="7731" max="7733" width="12.7265625" style="1013" customWidth="1"/>
    <col min="7734" max="7734" width="15.26953125" style="1013" customWidth="1"/>
    <col min="7735" max="7735" width="12.54296875" style="1013" customWidth="1"/>
    <col min="7736" max="7736" width="13.453125" style="1013" customWidth="1"/>
    <col min="7737" max="7737" width="13.54296875" style="1013" customWidth="1"/>
    <col min="7738" max="7740" width="8.7265625" style="1013"/>
    <col min="7741" max="7741" width="11.26953125" style="1013" customWidth="1"/>
    <col min="7742" max="7948" width="8.7265625" style="1013"/>
    <col min="7949" max="7949" width="7.7265625" style="1013" bestFit="1" customWidth="1"/>
    <col min="7950" max="7950" width="74.453125" style="1013" customWidth="1"/>
    <col min="7951" max="7951" width="10.26953125" style="1013" customWidth="1"/>
    <col min="7952" max="7952" width="35" style="1013" customWidth="1"/>
    <col min="7953" max="7963" width="14" style="1013" customWidth="1"/>
    <col min="7964" max="7977" width="9.7265625" style="1013" customWidth="1"/>
    <col min="7978" max="7984" width="12.26953125" style="1013" customWidth="1"/>
    <col min="7985" max="7985" width="18.26953125" style="1013" customWidth="1"/>
    <col min="7986" max="7986" width="11.54296875" style="1013" customWidth="1"/>
    <col min="7987" max="7989" width="12.7265625" style="1013" customWidth="1"/>
    <col min="7990" max="7990" width="15.26953125" style="1013" customWidth="1"/>
    <col min="7991" max="7991" width="12.54296875" style="1013" customWidth="1"/>
    <col min="7992" max="7992" width="13.453125" style="1013" customWidth="1"/>
    <col min="7993" max="7993" width="13.54296875" style="1013" customWidth="1"/>
    <col min="7994" max="7996" width="8.7265625" style="1013"/>
    <col min="7997" max="7997" width="11.26953125" style="1013" customWidth="1"/>
    <col min="7998" max="8204" width="8.7265625" style="1013"/>
    <col min="8205" max="8205" width="7.7265625" style="1013" bestFit="1" customWidth="1"/>
    <col min="8206" max="8206" width="74.453125" style="1013" customWidth="1"/>
    <col min="8207" max="8207" width="10.26953125" style="1013" customWidth="1"/>
    <col min="8208" max="8208" width="35" style="1013" customWidth="1"/>
    <col min="8209" max="8219" width="14" style="1013" customWidth="1"/>
    <col min="8220" max="8233" width="9.7265625" style="1013" customWidth="1"/>
    <col min="8234" max="8240" width="12.26953125" style="1013" customWidth="1"/>
    <col min="8241" max="8241" width="18.26953125" style="1013" customWidth="1"/>
    <col min="8242" max="8242" width="11.54296875" style="1013" customWidth="1"/>
    <col min="8243" max="8245" width="12.7265625" style="1013" customWidth="1"/>
    <col min="8246" max="8246" width="15.26953125" style="1013" customWidth="1"/>
    <col min="8247" max="8247" width="12.54296875" style="1013" customWidth="1"/>
    <col min="8248" max="8248" width="13.453125" style="1013" customWidth="1"/>
    <col min="8249" max="8249" width="13.54296875" style="1013" customWidth="1"/>
    <col min="8250" max="8252" width="8.7265625" style="1013"/>
    <col min="8253" max="8253" width="11.26953125" style="1013" customWidth="1"/>
    <col min="8254" max="8460" width="8.7265625" style="1013"/>
    <col min="8461" max="8461" width="7.7265625" style="1013" bestFit="1" customWidth="1"/>
    <col min="8462" max="8462" width="74.453125" style="1013" customWidth="1"/>
    <col min="8463" max="8463" width="10.26953125" style="1013" customWidth="1"/>
    <col min="8464" max="8464" width="35" style="1013" customWidth="1"/>
    <col min="8465" max="8475" width="14" style="1013" customWidth="1"/>
    <col min="8476" max="8489" width="9.7265625" style="1013" customWidth="1"/>
    <col min="8490" max="8496" width="12.26953125" style="1013" customWidth="1"/>
    <col min="8497" max="8497" width="18.26953125" style="1013" customWidth="1"/>
    <col min="8498" max="8498" width="11.54296875" style="1013" customWidth="1"/>
    <col min="8499" max="8501" width="12.7265625" style="1013" customWidth="1"/>
    <col min="8502" max="8502" width="15.26953125" style="1013" customWidth="1"/>
    <col min="8503" max="8503" width="12.54296875" style="1013" customWidth="1"/>
    <col min="8504" max="8504" width="13.453125" style="1013" customWidth="1"/>
    <col min="8505" max="8505" width="13.54296875" style="1013" customWidth="1"/>
    <col min="8506" max="8508" width="8.7265625" style="1013"/>
    <col min="8509" max="8509" width="11.26953125" style="1013" customWidth="1"/>
    <col min="8510" max="8716" width="8.7265625" style="1013"/>
    <col min="8717" max="8717" width="7.7265625" style="1013" bestFit="1" customWidth="1"/>
    <col min="8718" max="8718" width="74.453125" style="1013" customWidth="1"/>
    <col min="8719" max="8719" width="10.26953125" style="1013" customWidth="1"/>
    <col min="8720" max="8720" width="35" style="1013" customWidth="1"/>
    <col min="8721" max="8731" width="14" style="1013" customWidth="1"/>
    <col min="8732" max="8745" width="9.7265625" style="1013" customWidth="1"/>
    <col min="8746" max="8752" width="12.26953125" style="1013" customWidth="1"/>
    <col min="8753" max="8753" width="18.26953125" style="1013" customWidth="1"/>
    <col min="8754" max="8754" width="11.54296875" style="1013" customWidth="1"/>
    <col min="8755" max="8757" width="12.7265625" style="1013" customWidth="1"/>
    <col min="8758" max="8758" width="15.26953125" style="1013" customWidth="1"/>
    <col min="8759" max="8759" width="12.54296875" style="1013" customWidth="1"/>
    <col min="8760" max="8760" width="13.453125" style="1013" customWidth="1"/>
    <col min="8761" max="8761" width="13.54296875" style="1013" customWidth="1"/>
    <col min="8762" max="8764" width="8.7265625" style="1013"/>
    <col min="8765" max="8765" width="11.26953125" style="1013" customWidth="1"/>
    <col min="8766" max="8972" width="8.7265625" style="1013"/>
    <col min="8973" max="8973" width="7.7265625" style="1013" bestFit="1" customWidth="1"/>
    <col min="8974" max="8974" width="74.453125" style="1013" customWidth="1"/>
    <col min="8975" max="8975" width="10.26953125" style="1013" customWidth="1"/>
    <col min="8976" max="8976" width="35" style="1013" customWidth="1"/>
    <col min="8977" max="8987" width="14" style="1013" customWidth="1"/>
    <col min="8988" max="9001" width="9.7265625" style="1013" customWidth="1"/>
    <col min="9002" max="9008" width="12.26953125" style="1013" customWidth="1"/>
    <col min="9009" max="9009" width="18.26953125" style="1013" customWidth="1"/>
    <col min="9010" max="9010" width="11.54296875" style="1013" customWidth="1"/>
    <col min="9011" max="9013" width="12.7265625" style="1013" customWidth="1"/>
    <col min="9014" max="9014" width="15.26953125" style="1013" customWidth="1"/>
    <col min="9015" max="9015" width="12.54296875" style="1013" customWidth="1"/>
    <col min="9016" max="9016" width="13.453125" style="1013" customWidth="1"/>
    <col min="9017" max="9017" width="13.54296875" style="1013" customWidth="1"/>
    <col min="9018" max="9020" width="8.7265625" style="1013"/>
    <col min="9021" max="9021" width="11.26953125" style="1013" customWidth="1"/>
    <col min="9022" max="9228" width="8.7265625" style="1013"/>
    <col min="9229" max="9229" width="7.7265625" style="1013" bestFit="1" customWidth="1"/>
    <col min="9230" max="9230" width="74.453125" style="1013" customWidth="1"/>
    <col min="9231" max="9231" width="10.26953125" style="1013" customWidth="1"/>
    <col min="9232" max="9232" width="35" style="1013" customWidth="1"/>
    <col min="9233" max="9243" width="14" style="1013" customWidth="1"/>
    <col min="9244" max="9257" width="9.7265625" style="1013" customWidth="1"/>
    <col min="9258" max="9264" width="12.26953125" style="1013" customWidth="1"/>
    <col min="9265" max="9265" width="18.26953125" style="1013" customWidth="1"/>
    <col min="9266" max="9266" width="11.54296875" style="1013" customWidth="1"/>
    <col min="9267" max="9269" width="12.7265625" style="1013" customWidth="1"/>
    <col min="9270" max="9270" width="15.26953125" style="1013" customWidth="1"/>
    <col min="9271" max="9271" width="12.54296875" style="1013" customWidth="1"/>
    <col min="9272" max="9272" width="13.453125" style="1013" customWidth="1"/>
    <col min="9273" max="9273" width="13.54296875" style="1013" customWidth="1"/>
    <col min="9274" max="9276" width="8.7265625" style="1013"/>
    <col min="9277" max="9277" width="11.26953125" style="1013" customWidth="1"/>
    <col min="9278" max="9484" width="8.7265625" style="1013"/>
    <col min="9485" max="9485" width="7.7265625" style="1013" bestFit="1" customWidth="1"/>
    <col min="9486" max="9486" width="74.453125" style="1013" customWidth="1"/>
    <col min="9487" max="9487" width="10.26953125" style="1013" customWidth="1"/>
    <col min="9488" max="9488" width="35" style="1013" customWidth="1"/>
    <col min="9489" max="9499" width="14" style="1013" customWidth="1"/>
    <col min="9500" max="9513" width="9.7265625" style="1013" customWidth="1"/>
    <col min="9514" max="9520" width="12.26953125" style="1013" customWidth="1"/>
    <col min="9521" max="9521" width="18.26953125" style="1013" customWidth="1"/>
    <col min="9522" max="9522" width="11.54296875" style="1013" customWidth="1"/>
    <col min="9523" max="9525" width="12.7265625" style="1013" customWidth="1"/>
    <col min="9526" max="9526" width="15.26953125" style="1013" customWidth="1"/>
    <col min="9527" max="9527" width="12.54296875" style="1013" customWidth="1"/>
    <col min="9528" max="9528" width="13.453125" style="1013" customWidth="1"/>
    <col min="9529" max="9529" width="13.54296875" style="1013" customWidth="1"/>
    <col min="9530" max="9532" width="8.7265625" style="1013"/>
    <col min="9533" max="9533" width="11.26953125" style="1013" customWidth="1"/>
    <col min="9534" max="9740" width="8.7265625" style="1013"/>
    <col min="9741" max="9741" width="7.7265625" style="1013" bestFit="1" customWidth="1"/>
    <col min="9742" max="9742" width="74.453125" style="1013" customWidth="1"/>
    <col min="9743" max="9743" width="10.26953125" style="1013" customWidth="1"/>
    <col min="9744" max="9744" width="35" style="1013" customWidth="1"/>
    <col min="9745" max="9755" width="14" style="1013" customWidth="1"/>
    <col min="9756" max="9769" width="9.7265625" style="1013" customWidth="1"/>
    <col min="9770" max="9776" width="12.26953125" style="1013" customWidth="1"/>
    <col min="9777" max="9777" width="18.26953125" style="1013" customWidth="1"/>
    <col min="9778" max="9778" width="11.54296875" style="1013" customWidth="1"/>
    <col min="9779" max="9781" width="12.7265625" style="1013" customWidth="1"/>
    <col min="9782" max="9782" width="15.26953125" style="1013" customWidth="1"/>
    <col min="9783" max="9783" width="12.54296875" style="1013" customWidth="1"/>
    <col min="9784" max="9784" width="13.453125" style="1013" customWidth="1"/>
    <col min="9785" max="9785" width="13.54296875" style="1013" customWidth="1"/>
    <col min="9786" max="9788" width="8.7265625" style="1013"/>
    <col min="9789" max="9789" width="11.26953125" style="1013" customWidth="1"/>
    <col min="9790" max="9996" width="8.7265625" style="1013"/>
    <col min="9997" max="9997" width="7.7265625" style="1013" bestFit="1" customWidth="1"/>
    <col min="9998" max="9998" width="74.453125" style="1013" customWidth="1"/>
    <col min="9999" max="9999" width="10.26953125" style="1013" customWidth="1"/>
    <col min="10000" max="10000" width="35" style="1013" customWidth="1"/>
    <col min="10001" max="10011" width="14" style="1013" customWidth="1"/>
    <col min="10012" max="10025" width="9.7265625" style="1013" customWidth="1"/>
    <col min="10026" max="10032" width="12.26953125" style="1013" customWidth="1"/>
    <col min="10033" max="10033" width="18.26953125" style="1013" customWidth="1"/>
    <col min="10034" max="10034" width="11.54296875" style="1013" customWidth="1"/>
    <col min="10035" max="10037" width="12.7265625" style="1013" customWidth="1"/>
    <col min="10038" max="10038" width="15.26953125" style="1013" customWidth="1"/>
    <col min="10039" max="10039" width="12.54296875" style="1013" customWidth="1"/>
    <col min="10040" max="10040" width="13.453125" style="1013" customWidth="1"/>
    <col min="10041" max="10041" width="13.54296875" style="1013" customWidth="1"/>
    <col min="10042" max="10044" width="8.7265625" style="1013"/>
    <col min="10045" max="10045" width="11.26953125" style="1013" customWidth="1"/>
    <col min="10046" max="10252" width="8.7265625" style="1013"/>
    <col min="10253" max="10253" width="7.7265625" style="1013" bestFit="1" customWidth="1"/>
    <col min="10254" max="10254" width="74.453125" style="1013" customWidth="1"/>
    <col min="10255" max="10255" width="10.26953125" style="1013" customWidth="1"/>
    <col min="10256" max="10256" width="35" style="1013" customWidth="1"/>
    <col min="10257" max="10267" width="14" style="1013" customWidth="1"/>
    <col min="10268" max="10281" width="9.7265625" style="1013" customWidth="1"/>
    <col min="10282" max="10288" width="12.26953125" style="1013" customWidth="1"/>
    <col min="10289" max="10289" width="18.26953125" style="1013" customWidth="1"/>
    <col min="10290" max="10290" width="11.54296875" style="1013" customWidth="1"/>
    <col min="10291" max="10293" width="12.7265625" style="1013" customWidth="1"/>
    <col min="10294" max="10294" width="15.26953125" style="1013" customWidth="1"/>
    <col min="10295" max="10295" width="12.54296875" style="1013" customWidth="1"/>
    <col min="10296" max="10296" width="13.453125" style="1013" customWidth="1"/>
    <col min="10297" max="10297" width="13.54296875" style="1013" customWidth="1"/>
    <col min="10298" max="10300" width="8.7265625" style="1013"/>
    <col min="10301" max="10301" width="11.26953125" style="1013" customWidth="1"/>
    <col min="10302" max="10508" width="8.7265625" style="1013"/>
    <col min="10509" max="10509" width="7.7265625" style="1013" bestFit="1" customWidth="1"/>
    <col min="10510" max="10510" width="74.453125" style="1013" customWidth="1"/>
    <col min="10511" max="10511" width="10.26953125" style="1013" customWidth="1"/>
    <col min="10512" max="10512" width="35" style="1013" customWidth="1"/>
    <col min="10513" max="10523" width="14" style="1013" customWidth="1"/>
    <col min="10524" max="10537" width="9.7265625" style="1013" customWidth="1"/>
    <col min="10538" max="10544" width="12.26953125" style="1013" customWidth="1"/>
    <col min="10545" max="10545" width="18.26953125" style="1013" customWidth="1"/>
    <col min="10546" max="10546" width="11.54296875" style="1013" customWidth="1"/>
    <col min="10547" max="10549" width="12.7265625" style="1013" customWidth="1"/>
    <col min="10550" max="10550" width="15.26953125" style="1013" customWidth="1"/>
    <col min="10551" max="10551" width="12.54296875" style="1013" customWidth="1"/>
    <col min="10552" max="10552" width="13.453125" style="1013" customWidth="1"/>
    <col min="10553" max="10553" width="13.54296875" style="1013" customWidth="1"/>
    <col min="10554" max="10556" width="8.7265625" style="1013"/>
    <col min="10557" max="10557" width="11.26953125" style="1013" customWidth="1"/>
    <col min="10558" max="10764" width="8.7265625" style="1013"/>
    <col min="10765" max="10765" width="7.7265625" style="1013" bestFit="1" customWidth="1"/>
    <col min="10766" max="10766" width="74.453125" style="1013" customWidth="1"/>
    <col min="10767" max="10767" width="10.26953125" style="1013" customWidth="1"/>
    <col min="10768" max="10768" width="35" style="1013" customWidth="1"/>
    <col min="10769" max="10779" width="14" style="1013" customWidth="1"/>
    <col min="10780" max="10793" width="9.7265625" style="1013" customWidth="1"/>
    <col min="10794" max="10800" width="12.26953125" style="1013" customWidth="1"/>
    <col min="10801" max="10801" width="18.26953125" style="1013" customWidth="1"/>
    <col min="10802" max="10802" width="11.54296875" style="1013" customWidth="1"/>
    <col min="10803" max="10805" width="12.7265625" style="1013" customWidth="1"/>
    <col min="10806" max="10806" width="15.26953125" style="1013" customWidth="1"/>
    <col min="10807" max="10807" width="12.54296875" style="1013" customWidth="1"/>
    <col min="10808" max="10808" width="13.453125" style="1013" customWidth="1"/>
    <col min="10809" max="10809" width="13.54296875" style="1013" customWidth="1"/>
    <col min="10810" max="10812" width="8.7265625" style="1013"/>
    <col min="10813" max="10813" width="11.26953125" style="1013" customWidth="1"/>
    <col min="10814" max="11020" width="8.7265625" style="1013"/>
    <col min="11021" max="11021" width="7.7265625" style="1013" bestFit="1" customWidth="1"/>
    <col min="11022" max="11022" width="74.453125" style="1013" customWidth="1"/>
    <col min="11023" max="11023" width="10.26953125" style="1013" customWidth="1"/>
    <col min="11024" max="11024" width="35" style="1013" customWidth="1"/>
    <col min="11025" max="11035" width="14" style="1013" customWidth="1"/>
    <col min="11036" max="11049" width="9.7265625" style="1013" customWidth="1"/>
    <col min="11050" max="11056" width="12.26953125" style="1013" customWidth="1"/>
    <col min="11057" max="11057" width="18.26953125" style="1013" customWidth="1"/>
    <col min="11058" max="11058" width="11.54296875" style="1013" customWidth="1"/>
    <col min="11059" max="11061" width="12.7265625" style="1013" customWidth="1"/>
    <col min="11062" max="11062" width="15.26953125" style="1013" customWidth="1"/>
    <col min="11063" max="11063" width="12.54296875" style="1013" customWidth="1"/>
    <col min="11064" max="11064" width="13.453125" style="1013" customWidth="1"/>
    <col min="11065" max="11065" width="13.54296875" style="1013" customWidth="1"/>
    <col min="11066" max="11068" width="8.7265625" style="1013"/>
    <col min="11069" max="11069" width="11.26953125" style="1013" customWidth="1"/>
    <col min="11070" max="11276" width="8.7265625" style="1013"/>
    <col min="11277" max="11277" width="7.7265625" style="1013" bestFit="1" customWidth="1"/>
    <col min="11278" max="11278" width="74.453125" style="1013" customWidth="1"/>
    <col min="11279" max="11279" width="10.26953125" style="1013" customWidth="1"/>
    <col min="11280" max="11280" width="35" style="1013" customWidth="1"/>
    <col min="11281" max="11291" width="14" style="1013" customWidth="1"/>
    <col min="11292" max="11305" width="9.7265625" style="1013" customWidth="1"/>
    <col min="11306" max="11312" width="12.26953125" style="1013" customWidth="1"/>
    <col min="11313" max="11313" width="18.26953125" style="1013" customWidth="1"/>
    <col min="11314" max="11314" width="11.54296875" style="1013" customWidth="1"/>
    <col min="11315" max="11317" width="12.7265625" style="1013" customWidth="1"/>
    <col min="11318" max="11318" width="15.26953125" style="1013" customWidth="1"/>
    <col min="11319" max="11319" width="12.54296875" style="1013" customWidth="1"/>
    <col min="11320" max="11320" width="13.453125" style="1013" customWidth="1"/>
    <col min="11321" max="11321" width="13.54296875" style="1013" customWidth="1"/>
    <col min="11322" max="11324" width="8.7265625" style="1013"/>
    <col min="11325" max="11325" width="11.26953125" style="1013" customWidth="1"/>
    <col min="11326" max="11532" width="8.7265625" style="1013"/>
    <col min="11533" max="11533" width="7.7265625" style="1013" bestFit="1" customWidth="1"/>
    <col min="11534" max="11534" width="74.453125" style="1013" customWidth="1"/>
    <col min="11535" max="11535" width="10.26953125" style="1013" customWidth="1"/>
    <col min="11536" max="11536" width="35" style="1013" customWidth="1"/>
    <col min="11537" max="11547" width="14" style="1013" customWidth="1"/>
    <col min="11548" max="11561" width="9.7265625" style="1013" customWidth="1"/>
    <col min="11562" max="11568" width="12.26953125" style="1013" customWidth="1"/>
    <col min="11569" max="11569" width="18.26953125" style="1013" customWidth="1"/>
    <col min="11570" max="11570" width="11.54296875" style="1013" customWidth="1"/>
    <col min="11571" max="11573" width="12.7265625" style="1013" customWidth="1"/>
    <col min="11574" max="11574" width="15.26953125" style="1013" customWidth="1"/>
    <col min="11575" max="11575" width="12.54296875" style="1013" customWidth="1"/>
    <col min="11576" max="11576" width="13.453125" style="1013" customWidth="1"/>
    <col min="11577" max="11577" width="13.54296875" style="1013" customWidth="1"/>
    <col min="11578" max="11580" width="8.7265625" style="1013"/>
    <col min="11581" max="11581" width="11.26953125" style="1013" customWidth="1"/>
    <col min="11582" max="11788" width="8.7265625" style="1013"/>
    <col min="11789" max="11789" width="7.7265625" style="1013" bestFit="1" customWidth="1"/>
    <col min="11790" max="11790" width="74.453125" style="1013" customWidth="1"/>
    <col min="11791" max="11791" width="10.26953125" style="1013" customWidth="1"/>
    <col min="11792" max="11792" width="35" style="1013" customWidth="1"/>
    <col min="11793" max="11803" width="14" style="1013" customWidth="1"/>
    <col min="11804" max="11817" width="9.7265625" style="1013" customWidth="1"/>
    <col min="11818" max="11824" width="12.26953125" style="1013" customWidth="1"/>
    <col min="11825" max="11825" width="18.26953125" style="1013" customWidth="1"/>
    <col min="11826" max="11826" width="11.54296875" style="1013" customWidth="1"/>
    <col min="11827" max="11829" width="12.7265625" style="1013" customWidth="1"/>
    <col min="11830" max="11830" width="15.26953125" style="1013" customWidth="1"/>
    <col min="11831" max="11831" width="12.54296875" style="1013" customWidth="1"/>
    <col min="11832" max="11832" width="13.453125" style="1013" customWidth="1"/>
    <col min="11833" max="11833" width="13.54296875" style="1013" customWidth="1"/>
    <col min="11834" max="11836" width="8.7265625" style="1013"/>
    <col min="11837" max="11837" width="11.26953125" style="1013" customWidth="1"/>
    <col min="11838" max="12044" width="8.7265625" style="1013"/>
    <col min="12045" max="12045" width="7.7265625" style="1013" bestFit="1" customWidth="1"/>
    <col min="12046" max="12046" width="74.453125" style="1013" customWidth="1"/>
    <col min="12047" max="12047" width="10.26953125" style="1013" customWidth="1"/>
    <col min="12048" max="12048" width="35" style="1013" customWidth="1"/>
    <col min="12049" max="12059" width="14" style="1013" customWidth="1"/>
    <col min="12060" max="12073" width="9.7265625" style="1013" customWidth="1"/>
    <col min="12074" max="12080" width="12.26953125" style="1013" customWidth="1"/>
    <col min="12081" max="12081" width="18.26953125" style="1013" customWidth="1"/>
    <col min="12082" max="12082" width="11.54296875" style="1013" customWidth="1"/>
    <col min="12083" max="12085" width="12.7265625" style="1013" customWidth="1"/>
    <col min="12086" max="12086" width="15.26953125" style="1013" customWidth="1"/>
    <col min="12087" max="12087" width="12.54296875" style="1013" customWidth="1"/>
    <col min="12088" max="12088" width="13.453125" style="1013" customWidth="1"/>
    <col min="12089" max="12089" width="13.54296875" style="1013" customWidth="1"/>
    <col min="12090" max="12092" width="8.7265625" style="1013"/>
    <col min="12093" max="12093" width="11.26953125" style="1013" customWidth="1"/>
    <col min="12094" max="12300" width="8.7265625" style="1013"/>
    <col min="12301" max="12301" width="7.7265625" style="1013" bestFit="1" customWidth="1"/>
    <col min="12302" max="12302" width="74.453125" style="1013" customWidth="1"/>
    <col min="12303" max="12303" width="10.26953125" style="1013" customWidth="1"/>
    <col min="12304" max="12304" width="35" style="1013" customWidth="1"/>
    <col min="12305" max="12315" width="14" style="1013" customWidth="1"/>
    <col min="12316" max="12329" width="9.7265625" style="1013" customWidth="1"/>
    <col min="12330" max="12336" width="12.26953125" style="1013" customWidth="1"/>
    <col min="12337" max="12337" width="18.26953125" style="1013" customWidth="1"/>
    <col min="12338" max="12338" width="11.54296875" style="1013" customWidth="1"/>
    <col min="12339" max="12341" width="12.7265625" style="1013" customWidth="1"/>
    <col min="12342" max="12342" width="15.26953125" style="1013" customWidth="1"/>
    <col min="12343" max="12343" width="12.54296875" style="1013" customWidth="1"/>
    <col min="12344" max="12344" width="13.453125" style="1013" customWidth="1"/>
    <col min="12345" max="12345" width="13.54296875" style="1013" customWidth="1"/>
    <col min="12346" max="12348" width="8.7265625" style="1013"/>
    <col min="12349" max="12349" width="11.26953125" style="1013" customWidth="1"/>
    <col min="12350" max="12556" width="8.7265625" style="1013"/>
    <col min="12557" max="12557" width="7.7265625" style="1013" bestFit="1" customWidth="1"/>
    <col min="12558" max="12558" width="74.453125" style="1013" customWidth="1"/>
    <col min="12559" max="12559" width="10.26953125" style="1013" customWidth="1"/>
    <col min="12560" max="12560" width="35" style="1013" customWidth="1"/>
    <col min="12561" max="12571" width="14" style="1013" customWidth="1"/>
    <col min="12572" max="12585" width="9.7265625" style="1013" customWidth="1"/>
    <col min="12586" max="12592" width="12.26953125" style="1013" customWidth="1"/>
    <col min="12593" max="12593" width="18.26953125" style="1013" customWidth="1"/>
    <col min="12594" max="12594" width="11.54296875" style="1013" customWidth="1"/>
    <col min="12595" max="12597" width="12.7265625" style="1013" customWidth="1"/>
    <col min="12598" max="12598" width="15.26953125" style="1013" customWidth="1"/>
    <col min="12599" max="12599" width="12.54296875" style="1013" customWidth="1"/>
    <col min="12600" max="12600" width="13.453125" style="1013" customWidth="1"/>
    <col min="12601" max="12601" width="13.54296875" style="1013" customWidth="1"/>
    <col min="12602" max="12604" width="8.7265625" style="1013"/>
    <col min="12605" max="12605" width="11.26953125" style="1013" customWidth="1"/>
    <col min="12606" max="12812" width="8.7265625" style="1013"/>
    <col min="12813" max="12813" width="7.7265625" style="1013" bestFit="1" customWidth="1"/>
    <col min="12814" max="12814" width="74.453125" style="1013" customWidth="1"/>
    <col min="12815" max="12815" width="10.26953125" style="1013" customWidth="1"/>
    <col min="12816" max="12816" width="35" style="1013" customWidth="1"/>
    <col min="12817" max="12827" width="14" style="1013" customWidth="1"/>
    <col min="12828" max="12841" width="9.7265625" style="1013" customWidth="1"/>
    <col min="12842" max="12848" width="12.26953125" style="1013" customWidth="1"/>
    <col min="12849" max="12849" width="18.26953125" style="1013" customWidth="1"/>
    <col min="12850" max="12850" width="11.54296875" style="1013" customWidth="1"/>
    <col min="12851" max="12853" width="12.7265625" style="1013" customWidth="1"/>
    <col min="12854" max="12854" width="15.26953125" style="1013" customWidth="1"/>
    <col min="12855" max="12855" width="12.54296875" style="1013" customWidth="1"/>
    <col min="12856" max="12856" width="13.453125" style="1013" customWidth="1"/>
    <col min="12857" max="12857" width="13.54296875" style="1013" customWidth="1"/>
    <col min="12858" max="12860" width="8.7265625" style="1013"/>
    <col min="12861" max="12861" width="11.26953125" style="1013" customWidth="1"/>
    <col min="12862" max="13068" width="8.7265625" style="1013"/>
    <col min="13069" max="13069" width="7.7265625" style="1013" bestFit="1" customWidth="1"/>
    <col min="13070" max="13070" width="74.453125" style="1013" customWidth="1"/>
    <col min="13071" max="13071" width="10.26953125" style="1013" customWidth="1"/>
    <col min="13072" max="13072" width="35" style="1013" customWidth="1"/>
    <col min="13073" max="13083" width="14" style="1013" customWidth="1"/>
    <col min="13084" max="13097" width="9.7265625" style="1013" customWidth="1"/>
    <col min="13098" max="13104" width="12.26953125" style="1013" customWidth="1"/>
    <col min="13105" max="13105" width="18.26953125" style="1013" customWidth="1"/>
    <col min="13106" max="13106" width="11.54296875" style="1013" customWidth="1"/>
    <col min="13107" max="13109" width="12.7265625" style="1013" customWidth="1"/>
    <col min="13110" max="13110" width="15.26953125" style="1013" customWidth="1"/>
    <col min="13111" max="13111" width="12.54296875" style="1013" customWidth="1"/>
    <col min="13112" max="13112" width="13.453125" style="1013" customWidth="1"/>
    <col min="13113" max="13113" width="13.54296875" style="1013" customWidth="1"/>
    <col min="13114" max="13116" width="8.7265625" style="1013"/>
    <col min="13117" max="13117" width="11.26953125" style="1013" customWidth="1"/>
    <col min="13118" max="13324" width="8.7265625" style="1013"/>
    <col min="13325" max="13325" width="7.7265625" style="1013" bestFit="1" customWidth="1"/>
    <col min="13326" max="13326" width="74.453125" style="1013" customWidth="1"/>
    <col min="13327" max="13327" width="10.26953125" style="1013" customWidth="1"/>
    <col min="13328" max="13328" width="35" style="1013" customWidth="1"/>
    <col min="13329" max="13339" width="14" style="1013" customWidth="1"/>
    <col min="13340" max="13353" width="9.7265625" style="1013" customWidth="1"/>
    <col min="13354" max="13360" width="12.26953125" style="1013" customWidth="1"/>
    <col min="13361" max="13361" width="18.26953125" style="1013" customWidth="1"/>
    <col min="13362" max="13362" width="11.54296875" style="1013" customWidth="1"/>
    <col min="13363" max="13365" width="12.7265625" style="1013" customWidth="1"/>
    <col min="13366" max="13366" width="15.26953125" style="1013" customWidth="1"/>
    <col min="13367" max="13367" width="12.54296875" style="1013" customWidth="1"/>
    <col min="13368" max="13368" width="13.453125" style="1013" customWidth="1"/>
    <col min="13369" max="13369" width="13.54296875" style="1013" customWidth="1"/>
    <col min="13370" max="13372" width="8.7265625" style="1013"/>
    <col min="13373" max="13373" width="11.26953125" style="1013" customWidth="1"/>
    <col min="13374" max="13580" width="8.7265625" style="1013"/>
    <col min="13581" max="13581" width="7.7265625" style="1013" bestFit="1" customWidth="1"/>
    <col min="13582" max="13582" width="74.453125" style="1013" customWidth="1"/>
    <col min="13583" max="13583" width="10.26953125" style="1013" customWidth="1"/>
    <col min="13584" max="13584" width="35" style="1013" customWidth="1"/>
    <col min="13585" max="13595" width="14" style="1013" customWidth="1"/>
    <col min="13596" max="13609" width="9.7265625" style="1013" customWidth="1"/>
    <col min="13610" max="13616" width="12.26953125" style="1013" customWidth="1"/>
    <col min="13617" max="13617" width="18.26953125" style="1013" customWidth="1"/>
    <col min="13618" max="13618" width="11.54296875" style="1013" customWidth="1"/>
    <col min="13619" max="13621" width="12.7265625" style="1013" customWidth="1"/>
    <col min="13622" max="13622" width="15.26953125" style="1013" customWidth="1"/>
    <col min="13623" max="13623" width="12.54296875" style="1013" customWidth="1"/>
    <col min="13624" max="13624" width="13.453125" style="1013" customWidth="1"/>
    <col min="13625" max="13625" width="13.54296875" style="1013" customWidth="1"/>
    <col min="13626" max="13628" width="8.7265625" style="1013"/>
    <col min="13629" max="13629" width="11.26953125" style="1013" customWidth="1"/>
    <col min="13630" max="13836" width="8.7265625" style="1013"/>
    <col min="13837" max="13837" width="7.7265625" style="1013" bestFit="1" customWidth="1"/>
    <col min="13838" max="13838" width="74.453125" style="1013" customWidth="1"/>
    <col min="13839" max="13839" width="10.26953125" style="1013" customWidth="1"/>
    <col min="13840" max="13840" width="35" style="1013" customWidth="1"/>
    <col min="13841" max="13851" width="14" style="1013" customWidth="1"/>
    <col min="13852" max="13865" width="9.7265625" style="1013" customWidth="1"/>
    <col min="13866" max="13872" width="12.26953125" style="1013" customWidth="1"/>
    <col min="13873" max="13873" width="18.26953125" style="1013" customWidth="1"/>
    <col min="13874" max="13874" width="11.54296875" style="1013" customWidth="1"/>
    <col min="13875" max="13877" width="12.7265625" style="1013" customWidth="1"/>
    <col min="13878" max="13878" width="15.26953125" style="1013" customWidth="1"/>
    <col min="13879" max="13879" width="12.54296875" style="1013" customWidth="1"/>
    <col min="13880" max="13880" width="13.453125" style="1013" customWidth="1"/>
    <col min="13881" max="13881" width="13.54296875" style="1013" customWidth="1"/>
    <col min="13882" max="13884" width="8.7265625" style="1013"/>
    <col min="13885" max="13885" width="11.26953125" style="1013" customWidth="1"/>
    <col min="13886" max="14092" width="8.7265625" style="1013"/>
    <col min="14093" max="14093" width="7.7265625" style="1013" bestFit="1" customWidth="1"/>
    <col min="14094" max="14094" width="74.453125" style="1013" customWidth="1"/>
    <col min="14095" max="14095" width="10.26953125" style="1013" customWidth="1"/>
    <col min="14096" max="14096" width="35" style="1013" customWidth="1"/>
    <col min="14097" max="14107" width="14" style="1013" customWidth="1"/>
    <col min="14108" max="14121" width="9.7265625" style="1013" customWidth="1"/>
    <col min="14122" max="14128" width="12.26953125" style="1013" customWidth="1"/>
    <col min="14129" max="14129" width="18.26953125" style="1013" customWidth="1"/>
    <col min="14130" max="14130" width="11.54296875" style="1013" customWidth="1"/>
    <col min="14131" max="14133" width="12.7265625" style="1013" customWidth="1"/>
    <col min="14134" max="14134" width="15.26953125" style="1013" customWidth="1"/>
    <col min="14135" max="14135" width="12.54296875" style="1013" customWidth="1"/>
    <col min="14136" max="14136" width="13.453125" style="1013" customWidth="1"/>
    <col min="14137" max="14137" width="13.54296875" style="1013" customWidth="1"/>
    <col min="14138" max="14140" width="8.7265625" style="1013"/>
    <col min="14141" max="14141" width="11.26953125" style="1013" customWidth="1"/>
    <col min="14142" max="14348" width="8.7265625" style="1013"/>
    <col min="14349" max="14349" width="7.7265625" style="1013" bestFit="1" customWidth="1"/>
    <col min="14350" max="14350" width="74.453125" style="1013" customWidth="1"/>
    <col min="14351" max="14351" width="10.26953125" style="1013" customWidth="1"/>
    <col min="14352" max="14352" width="35" style="1013" customWidth="1"/>
    <col min="14353" max="14363" width="14" style="1013" customWidth="1"/>
    <col min="14364" max="14377" width="9.7265625" style="1013" customWidth="1"/>
    <col min="14378" max="14384" width="12.26953125" style="1013" customWidth="1"/>
    <col min="14385" max="14385" width="18.26953125" style="1013" customWidth="1"/>
    <col min="14386" max="14386" width="11.54296875" style="1013" customWidth="1"/>
    <col min="14387" max="14389" width="12.7265625" style="1013" customWidth="1"/>
    <col min="14390" max="14390" width="15.26953125" style="1013" customWidth="1"/>
    <col min="14391" max="14391" width="12.54296875" style="1013" customWidth="1"/>
    <col min="14392" max="14392" width="13.453125" style="1013" customWidth="1"/>
    <col min="14393" max="14393" width="13.54296875" style="1013" customWidth="1"/>
    <col min="14394" max="14396" width="8.7265625" style="1013"/>
    <col min="14397" max="14397" width="11.26953125" style="1013" customWidth="1"/>
    <col min="14398" max="14604" width="8.7265625" style="1013"/>
    <col min="14605" max="14605" width="7.7265625" style="1013" bestFit="1" customWidth="1"/>
    <col min="14606" max="14606" width="74.453125" style="1013" customWidth="1"/>
    <col min="14607" max="14607" width="10.26953125" style="1013" customWidth="1"/>
    <col min="14608" max="14608" width="35" style="1013" customWidth="1"/>
    <col min="14609" max="14619" width="14" style="1013" customWidth="1"/>
    <col min="14620" max="14633" width="9.7265625" style="1013" customWidth="1"/>
    <col min="14634" max="14640" width="12.26953125" style="1013" customWidth="1"/>
    <col min="14641" max="14641" width="18.26953125" style="1013" customWidth="1"/>
    <col min="14642" max="14642" width="11.54296875" style="1013" customWidth="1"/>
    <col min="14643" max="14645" width="12.7265625" style="1013" customWidth="1"/>
    <col min="14646" max="14646" width="15.26953125" style="1013" customWidth="1"/>
    <col min="14647" max="14647" width="12.54296875" style="1013" customWidth="1"/>
    <col min="14648" max="14648" width="13.453125" style="1013" customWidth="1"/>
    <col min="14649" max="14649" width="13.54296875" style="1013" customWidth="1"/>
    <col min="14650" max="14652" width="8.7265625" style="1013"/>
    <col min="14653" max="14653" width="11.26953125" style="1013" customWidth="1"/>
    <col min="14654" max="14860" width="8.7265625" style="1013"/>
    <col min="14861" max="14861" width="7.7265625" style="1013" bestFit="1" customWidth="1"/>
    <col min="14862" max="14862" width="74.453125" style="1013" customWidth="1"/>
    <col min="14863" max="14863" width="10.26953125" style="1013" customWidth="1"/>
    <col min="14864" max="14864" width="35" style="1013" customWidth="1"/>
    <col min="14865" max="14875" width="14" style="1013" customWidth="1"/>
    <col min="14876" max="14889" width="9.7265625" style="1013" customWidth="1"/>
    <col min="14890" max="14896" width="12.26953125" style="1013" customWidth="1"/>
    <col min="14897" max="14897" width="18.26953125" style="1013" customWidth="1"/>
    <col min="14898" max="14898" width="11.54296875" style="1013" customWidth="1"/>
    <col min="14899" max="14901" width="12.7265625" style="1013" customWidth="1"/>
    <col min="14902" max="14902" width="15.26953125" style="1013" customWidth="1"/>
    <col min="14903" max="14903" width="12.54296875" style="1013" customWidth="1"/>
    <col min="14904" max="14904" width="13.453125" style="1013" customWidth="1"/>
    <col min="14905" max="14905" width="13.54296875" style="1013" customWidth="1"/>
    <col min="14906" max="14908" width="8.7265625" style="1013"/>
    <col min="14909" max="14909" width="11.26953125" style="1013" customWidth="1"/>
    <col min="14910" max="15116" width="8.7265625" style="1013"/>
    <col min="15117" max="15117" width="7.7265625" style="1013" bestFit="1" customWidth="1"/>
    <col min="15118" max="15118" width="74.453125" style="1013" customWidth="1"/>
    <col min="15119" max="15119" width="10.26953125" style="1013" customWidth="1"/>
    <col min="15120" max="15120" width="35" style="1013" customWidth="1"/>
    <col min="15121" max="15131" width="14" style="1013" customWidth="1"/>
    <col min="15132" max="15145" width="9.7265625" style="1013" customWidth="1"/>
    <col min="15146" max="15152" width="12.26953125" style="1013" customWidth="1"/>
    <col min="15153" max="15153" width="18.26953125" style="1013" customWidth="1"/>
    <col min="15154" max="15154" width="11.54296875" style="1013" customWidth="1"/>
    <col min="15155" max="15157" width="12.7265625" style="1013" customWidth="1"/>
    <col min="15158" max="15158" width="15.26953125" style="1013" customWidth="1"/>
    <col min="15159" max="15159" width="12.54296875" style="1013" customWidth="1"/>
    <col min="15160" max="15160" width="13.453125" style="1013" customWidth="1"/>
    <col min="15161" max="15161" width="13.54296875" style="1013" customWidth="1"/>
    <col min="15162" max="15164" width="8.7265625" style="1013"/>
    <col min="15165" max="15165" width="11.26953125" style="1013" customWidth="1"/>
    <col min="15166" max="15372" width="8.7265625" style="1013"/>
    <col min="15373" max="15373" width="7.7265625" style="1013" bestFit="1" customWidth="1"/>
    <col min="15374" max="15374" width="74.453125" style="1013" customWidth="1"/>
    <col min="15375" max="15375" width="10.26953125" style="1013" customWidth="1"/>
    <col min="15376" max="15376" width="35" style="1013" customWidth="1"/>
    <col min="15377" max="15387" width="14" style="1013" customWidth="1"/>
    <col min="15388" max="15401" width="9.7265625" style="1013" customWidth="1"/>
    <col min="15402" max="15408" width="12.26953125" style="1013" customWidth="1"/>
    <col min="15409" max="15409" width="18.26953125" style="1013" customWidth="1"/>
    <col min="15410" max="15410" width="11.54296875" style="1013" customWidth="1"/>
    <col min="15411" max="15413" width="12.7265625" style="1013" customWidth="1"/>
    <col min="15414" max="15414" width="15.26953125" style="1013" customWidth="1"/>
    <col min="15415" max="15415" width="12.54296875" style="1013" customWidth="1"/>
    <col min="15416" max="15416" width="13.453125" style="1013" customWidth="1"/>
    <col min="15417" max="15417" width="13.54296875" style="1013" customWidth="1"/>
    <col min="15418" max="15420" width="8.7265625" style="1013"/>
    <col min="15421" max="15421" width="11.26953125" style="1013" customWidth="1"/>
    <col min="15422" max="15628" width="8.7265625" style="1013"/>
    <col min="15629" max="15629" width="7.7265625" style="1013" bestFit="1" customWidth="1"/>
    <col min="15630" max="15630" width="74.453125" style="1013" customWidth="1"/>
    <col min="15631" max="15631" width="10.26953125" style="1013" customWidth="1"/>
    <col min="15632" max="15632" width="35" style="1013" customWidth="1"/>
    <col min="15633" max="15643" width="14" style="1013" customWidth="1"/>
    <col min="15644" max="15657" width="9.7265625" style="1013" customWidth="1"/>
    <col min="15658" max="15664" width="12.26953125" style="1013" customWidth="1"/>
    <col min="15665" max="15665" width="18.26953125" style="1013" customWidth="1"/>
    <col min="15666" max="15666" width="11.54296875" style="1013" customWidth="1"/>
    <col min="15667" max="15669" width="12.7265625" style="1013" customWidth="1"/>
    <col min="15670" max="15670" width="15.26953125" style="1013" customWidth="1"/>
    <col min="15671" max="15671" width="12.54296875" style="1013" customWidth="1"/>
    <col min="15672" max="15672" width="13.453125" style="1013" customWidth="1"/>
    <col min="15673" max="15673" width="13.54296875" style="1013" customWidth="1"/>
    <col min="15674" max="15676" width="8.7265625" style="1013"/>
    <col min="15677" max="15677" width="11.26953125" style="1013" customWidth="1"/>
    <col min="15678" max="15884" width="8.7265625" style="1013"/>
    <col min="15885" max="15885" width="7.7265625" style="1013" bestFit="1" customWidth="1"/>
    <col min="15886" max="15886" width="74.453125" style="1013" customWidth="1"/>
    <col min="15887" max="15887" width="10.26953125" style="1013" customWidth="1"/>
    <col min="15888" max="15888" width="35" style="1013" customWidth="1"/>
    <col min="15889" max="15899" width="14" style="1013" customWidth="1"/>
    <col min="15900" max="15913" width="9.7265625" style="1013" customWidth="1"/>
    <col min="15914" max="15920" width="12.26953125" style="1013" customWidth="1"/>
    <col min="15921" max="15921" width="18.26953125" style="1013" customWidth="1"/>
    <col min="15922" max="15922" width="11.54296875" style="1013" customWidth="1"/>
    <col min="15923" max="15925" width="12.7265625" style="1013" customWidth="1"/>
    <col min="15926" max="15926" width="15.26953125" style="1013" customWidth="1"/>
    <col min="15927" max="15927" width="12.54296875" style="1013" customWidth="1"/>
    <col min="15928" max="15928" width="13.453125" style="1013" customWidth="1"/>
    <col min="15929" max="15929" width="13.54296875" style="1013" customWidth="1"/>
    <col min="15930" max="15932" width="8.7265625" style="1013"/>
    <col min="15933" max="15933" width="11.26953125" style="1013" customWidth="1"/>
    <col min="15934" max="16140" width="8.7265625" style="1013"/>
    <col min="16141" max="16141" width="7.7265625" style="1013" bestFit="1" customWidth="1"/>
    <col min="16142" max="16142" width="74.453125" style="1013" customWidth="1"/>
    <col min="16143" max="16143" width="10.26953125" style="1013" customWidth="1"/>
    <col min="16144" max="16144" width="35" style="1013" customWidth="1"/>
    <col min="16145" max="16155" width="14" style="1013" customWidth="1"/>
    <col min="16156" max="16169" width="9.7265625" style="1013" customWidth="1"/>
    <col min="16170" max="16176" width="12.26953125" style="1013" customWidth="1"/>
    <col min="16177" max="16177" width="18.26953125" style="1013" customWidth="1"/>
    <col min="16178" max="16178" width="11.54296875" style="1013" customWidth="1"/>
    <col min="16179" max="16181" width="12.7265625" style="1013" customWidth="1"/>
    <col min="16182" max="16182" width="15.26953125" style="1013" customWidth="1"/>
    <col min="16183" max="16183" width="12.54296875" style="1013" customWidth="1"/>
    <col min="16184" max="16184" width="13.453125" style="1013" customWidth="1"/>
    <col min="16185" max="16185" width="13.54296875" style="1013" customWidth="1"/>
    <col min="16186" max="16188" width="8.7265625" style="1013"/>
    <col min="16189" max="16189" width="11.26953125" style="1013" customWidth="1"/>
    <col min="16190" max="16384" width="8.7265625" style="1013"/>
  </cols>
  <sheetData>
    <row r="1" spans="1:55" x14ac:dyDescent="0.25">
      <c r="D1" s="1024" t="s">
        <v>1652</v>
      </c>
      <c r="BB1" s="1168" t="s">
        <v>896</v>
      </c>
      <c r="BC1" s="1013" t="s">
        <v>897</v>
      </c>
    </row>
    <row r="2" spans="1:55" x14ac:dyDescent="0.25">
      <c r="D2" s="1189" t="s">
        <v>1653</v>
      </c>
      <c r="BB2" s="1168" t="s">
        <v>898</v>
      </c>
      <c r="BC2" s="1013" t="s">
        <v>899</v>
      </c>
    </row>
    <row r="3" spans="1:55" x14ac:dyDescent="0.25">
      <c r="A3" s="1135"/>
      <c r="B3" s="1075" t="s">
        <v>0</v>
      </c>
      <c r="C3" s="1074"/>
      <c r="D3" s="1190" t="s">
        <v>652</v>
      </c>
      <c r="E3" s="1072"/>
      <c r="F3" s="1073"/>
      <c r="G3" s="1071"/>
      <c r="H3" s="1071"/>
      <c r="I3" s="1071"/>
      <c r="J3" s="1071"/>
      <c r="K3" s="1072"/>
      <c r="L3" s="1071"/>
      <c r="M3" s="1071"/>
      <c r="N3" s="1071"/>
      <c r="O3" s="1070"/>
      <c r="P3" s="1191"/>
      <c r="Q3" s="1192"/>
      <c r="R3" s="1192"/>
      <c r="S3" s="1192"/>
      <c r="T3" s="1192"/>
      <c r="U3" s="1192"/>
      <c r="V3" s="1192"/>
      <c r="W3" s="1193" t="s">
        <v>10</v>
      </c>
      <c r="X3" s="1193"/>
      <c r="Y3" s="1193"/>
      <c r="Z3" s="1193"/>
      <c r="AA3" s="1193"/>
      <c r="AB3" s="1194"/>
      <c r="AC3" s="1195"/>
      <c r="AD3" s="1195"/>
      <c r="AE3" s="1195"/>
      <c r="AF3" s="1195"/>
      <c r="AG3" s="1195"/>
      <c r="AH3" s="1196"/>
      <c r="AI3" s="1193"/>
      <c r="AJ3" s="1193"/>
      <c r="AK3" s="1193"/>
      <c r="AL3" s="1193"/>
      <c r="AM3" s="1197"/>
      <c r="AN3" s="1198"/>
      <c r="AO3" s="1199"/>
      <c r="AR3" s="1199"/>
      <c r="AS3" s="1199"/>
      <c r="AT3" s="1200" t="s">
        <v>10</v>
      </c>
      <c r="AU3" s="1193"/>
      <c r="AV3" s="1193"/>
      <c r="AW3" s="1193"/>
      <c r="AX3" s="1193"/>
      <c r="AY3" s="1200"/>
      <c r="AZ3" s="1069"/>
      <c r="BA3" s="1068"/>
      <c r="BB3" s="1168" t="s">
        <v>419</v>
      </c>
      <c r="BC3" s="1013" t="s">
        <v>900</v>
      </c>
    </row>
    <row r="4" spans="1:55" x14ac:dyDescent="0.25">
      <c r="A4" s="1628" t="s">
        <v>343</v>
      </c>
      <c r="B4" s="1628" t="s">
        <v>16</v>
      </c>
      <c r="C4" s="1628" t="s">
        <v>896</v>
      </c>
      <c r="D4" s="1628" t="s">
        <v>503</v>
      </c>
      <c r="E4" s="1638" t="s">
        <v>901</v>
      </c>
      <c r="F4" s="1637" t="s">
        <v>504</v>
      </c>
      <c r="G4" s="1628" t="s">
        <v>902</v>
      </c>
      <c r="H4" s="1628" t="s">
        <v>508</v>
      </c>
      <c r="I4" s="1628" t="s">
        <v>19</v>
      </c>
      <c r="J4" s="1628" t="s">
        <v>600</v>
      </c>
      <c r="K4" s="1637" t="s">
        <v>509</v>
      </c>
      <c r="L4" s="1628" t="s">
        <v>510</v>
      </c>
      <c r="M4" s="1628" t="s">
        <v>511</v>
      </c>
      <c r="N4" s="1628" t="s">
        <v>512</v>
      </c>
      <c r="O4" s="1628" t="s">
        <v>17</v>
      </c>
      <c r="P4" s="1630" t="s">
        <v>22</v>
      </c>
      <c r="Q4" s="1630"/>
      <c r="R4" s="1630"/>
      <c r="S4" s="1630"/>
      <c r="T4" s="1630"/>
      <c r="U4" s="1630"/>
      <c r="V4" s="1630"/>
      <c r="W4" s="1630"/>
      <c r="X4" s="1201"/>
      <c r="Y4" s="1201"/>
      <c r="Z4" s="1201"/>
      <c r="AA4" s="1201"/>
      <c r="AB4" s="1631" t="s">
        <v>20</v>
      </c>
      <c r="AC4" s="1631"/>
      <c r="AD4" s="1631"/>
      <c r="AE4" s="1631"/>
      <c r="AF4" s="1631"/>
      <c r="AG4" s="1631"/>
      <c r="AH4" s="1631"/>
      <c r="AI4" s="1201"/>
      <c r="AJ4" s="1201"/>
      <c r="AK4" s="1201"/>
      <c r="AL4" s="1201"/>
      <c r="AM4" s="1630" t="s">
        <v>18</v>
      </c>
      <c r="AN4" s="1630"/>
      <c r="AO4" s="1630"/>
      <c r="AP4" s="1630"/>
      <c r="AQ4" s="1630"/>
      <c r="AR4" s="1630"/>
      <c r="AS4" s="1630"/>
      <c r="AT4" s="1630"/>
      <c r="AU4" s="1201"/>
      <c r="AV4" s="1201"/>
      <c r="AW4" s="1201"/>
      <c r="AX4" s="1201"/>
      <c r="AY4" s="1625" t="s">
        <v>903</v>
      </c>
      <c r="AZ4" s="1632" t="s">
        <v>27</v>
      </c>
      <c r="BA4" s="1635" t="s">
        <v>904</v>
      </c>
      <c r="BB4" s="1168" t="s">
        <v>905</v>
      </c>
      <c r="BC4" s="1202" t="s">
        <v>906</v>
      </c>
    </row>
    <row r="5" spans="1:55" ht="31" x14ac:dyDescent="0.25">
      <c r="A5" s="1628"/>
      <c r="B5" s="1628"/>
      <c r="C5" s="1628"/>
      <c r="D5" s="1628"/>
      <c r="E5" s="1639"/>
      <c r="F5" s="1637"/>
      <c r="G5" s="1628"/>
      <c r="H5" s="1628"/>
      <c r="I5" s="1628"/>
      <c r="J5" s="1628"/>
      <c r="K5" s="1637"/>
      <c r="L5" s="1628"/>
      <c r="M5" s="1628"/>
      <c r="N5" s="1628"/>
      <c r="O5" s="1628"/>
      <c r="P5" s="1630" t="s">
        <v>735</v>
      </c>
      <c r="Q5" s="1201" t="s">
        <v>7</v>
      </c>
      <c r="R5" s="1201" t="s">
        <v>7</v>
      </c>
      <c r="S5" s="1201" t="s">
        <v>7</v>
      </c>
      <c r="T5" s="1630" t="s">
        <v>1511</v>
      </c>
      <c r="U5" s="1201" t="s">
        <v>1509</v>
      </c>
      <c r="V5" s="1201" t="s">
        <v>1509</v>
      </c>
      <c r="W5" s="1201" t="s">
        <v>1508</v>
      </c>
      <c r="X5" s="1201" t="s">
        <v>1508</v>
      </c>
      <c r="Y5" s="1201" t="s">
        <v>1508</v>
      </c>
      <c r="Z5" s="1201" t="s">
        <v>1508</v>
      </c>
      <c r="AA5" s="1201" t="s">
        <v>1508</v>
      </c>
      <c r="AB5" s="1636" t="s">
        <v>737</v>
      </c>
      <c r="AC5" s="1203" t="s">
        <v>7</v>
      </c>
      <c r="AD5" s="1203" t="s">
        <v>7</v>
      </c>
      <c r="AE5" s="1203" t="s">
        <v>7</v>
      </c>
      <c r="AF5" s="1203" t="s">
        <v>1509</v>
      </c>
      <c r="AG5" s="1203" t="s">
        <v>1509</v>
      </c>
      <c r="AH5" s="1203" t="s">
        <v>1508</v>
      </c>
      <c r="AI5" s="1201" t="s">
        <v>1508</v>
      </c>
      <c r="AJ5" s="1201" t="s">
        <v>1508</v>
      </c>
      <c r="AK5" s="1201" t="s">
        <v>1508</v>
      </c>
      <c r="AL5" s="1201" t="s">
        <v>1508</v>
      </c>
      <c r="AM5" s="1630" t="s">
        <v>738</v>
      </c>
      <c r="AN5" s="1201" t="s">
        <v>7</v>
      </c>
      <c r="AO5" s="1201" t="s">
        <v>7</v>
      </c>
      <c r="AP5" s="1201" t="s">
        <v>7</v>
      </c>
      <c r="AQ5" s="1630" t="s">
        <v>1510</v>
      </c>
      <c r="AR5" s="1201" t="s">
        <v>1509</v>
      </c>
      <c r="AS5" s="1201" t="s">
        <v>1509</v>
      </c>
      <c r="AT5" s="1201" t="s">
        <v>1508</v>
      </c>
      <c r="AU5" s="1201" t="s">
        <v>1508</v>
      </c>
      <c r="AV5" s="1201" t="s">
        <v>1508</v>
      </c>
      <c r="AW5" s="1201" t="s">
        <v>1508</v>
      </c>
      <c r="AX5" s="1201" t="s">
        <v>1508</v>
      </c>
      <c r="AY5" s="1626"/>
      <c r="AZ5" s="1633"/>
      <c r="BA5" s="1635"/>
      <c r="BC5" s="1202" t="s">
        <v>907</v>
      </c>
    </row>
    <row r="6" spans="1:55" ht="30.75" customHeight="1" x14ac:dyDescent="0.25">
      <c r="A6" s="1628"/>
      <c r="B6" s="1628"/>
      <c r="C6" s="1628"/>
      <c r="D6" s="1628"/>
      <c r="E6" s="1640"/>
      <c r="F6" s="1637"/>
      <c r="G6" s="1628"/>
      <c r="H6" s="1628"/>
      <c r="I6" s="1628"/>
      <c r="J6" s="1628"/>
      <c r="K6" s="1637"/>
      <c r="L6" s="1628"/>
      <c r="M6" s="1628"/>
      <c r="N6" s="1628"/>
      <c r="O6" s="1628"/>
      <c r="P6" s="1630"/>
      <c r="Q6" s="1201" t="s">
        <v>326</v>
      </c>
      <c r="R6" s="1201" t="s">
        <v>517</v>
      </c>
      <c r="S6" s="1201" t="s">
        <v>518</v>
      </c>
      <c r="T6" s="1630"/>
      <c r="U6" s="1201" t="s">
        <v>519</v>
      </c>
      <c r="V6" s="1201" t="s">
        <v>520</v>
      </c>
      <c r="W6" s="1201" t="s">
        <v>521</v>
      </c>
      <c r="X6" s="1201" t="s">
        <v>940</v>
      </c>
      <c r="Y6" s="1201" t="s">
        <v>941</v>
      </c>
      <c r="Z6" s="1201" t="s">
        <v>945</v>
      </c>
      <c r="AA6" s="1201" t="s">
        <v>942</v>
      </c>
      <c r="AB6" s="1636"/>
      <c r="AC6" s="1203" t="s">
        <v>326</v>
      </c>
      <c r="AD6" s="1203" t="s">
        <v>517</v>
      </c>
      <c r="AE6" s="1203" t="s">
        <v>518</v>
      </c>
      <c r="AF6" s="1203" t="s">
        <v>519</v>
      </c>
      <c r="AG6" s="1203" t="s">
        <v>520</v>
      </c>
      <c r="AH6" s="1203" t="s">
        <v>521</v>
      </c>
      <c r="AI6" s="1201" t="s">
        <v>940</v>
      </c>
      <c r="AJ6" s="1201" t="s">
        <v>941</v>
      </c>
      <c r="AK6" s="1201" t="s">
        <v>945</v>
      </c>
      <c r="AL6" s="1201" t="s">
        <v>942</v>
      </c>
      <c r="AM6" s="1630"/>
      <c r="AN6" s="1201" t="s">
        <v>326</v>
      </c>
      <c r="AO6" s="1201" t="s">
        <v>517</v>
      </c>
      <c r="AP6" s="1201" t="s">
        <v>518</v>
      </c>
      <c r="AQ6" s="1630"/>
      <c r="AR6" s="1201" t="s">
        <v>519</v>
      </c>
      <c r="AS6" s="1201" t="s">
        <v>520</v>
      </c>
      <c r="AT6" s="1201" t="s">
        <v>521</v>
      </c>
      <c r="AU6" s="1201" t="s">
        <v>940</v>
      </c>
      <c r="AV6" s="1201" t="s">
        <v>941</v>
      </c>
      <c r="AW6" s="1201" t="s">
        <v>945</v>
      </c>
      <c r="AX6" s="1201" t="s">
        <v>942</v>
      </c>
      <c r="AY6" s="1627"/>
      <c r="AZ6" s="1634"/>
      <c r="BA6" s="1635"/>
      <c r="BC6" s="1202" t="s">
        <v>908</v>
      </c>
    </row>
    <row r="7" spans="1:55" x14ac:dyDescent="0.25">
      <c r="A7" s="1067"/>
      <c r="B7" s="1067"/>
      <c r="C7" s="1067"/>
      <c r="D7" s="1067"/>
      <c r="E7" s="1029"/>
      <c r="F7" s="1029"/>
      <c r="G7" s="1067"/>
      <c r="H7" s="1067"/>
      <c r="I7" s="1067"/>
      <c r="J7" s="1067"/>
      <c r="K7" s="1029"/>
      <c r="L7" s="1067"/>
      <c r="M7" s="1067"/>
      <c r="N7" s="1067"/>
      <c r="O7" s="1067"/>
      <c r="P7" s="1204"/>
      <c r="Q7" s="1204"/>
      <c r="R7" s="1204"/>
      <c r="S7" s="1204"/>
      <c r="T7" s="1204"/>
      <c r="U7" s="1204"/>
      <c r="V7" s="1204"/>
      <c r="W7" s="1204"/>
      <c r="X7" s="1204"/>
      <c r="Y7" s="1204"/>
      <c r="Z7" s="1204"/>
      <c r="AA7" s="1204"/>
      <c r="AB7" s="1205"/>
      <c r="AC7" s="1206"/>
      <c r="AD7" s="1206"/>
      <c r="AE7" s="1206"/>
      <c r="AF7" s="1206"/>
      <c r="AG7" s="1206"/>
      <c r="AH7" s="1206"/>
      <c r="AI7" s="1204"/>
      <c r="AJ7" s="1204"/>
      <c r="AK7" s="1204"/>
      <c r="AL7" s="1204"/>
      <c r="AM7" s="1204"/>
      <c r="AN7" s="1204"/>
      <c r="AO7" s="1204"/>
      <c r="AP7" s="1204"/>
      <c r="AQ7" s="1204"/>
      <c r="AR7" s="1204"/>
      <c r="AS7" s="1204"/>
      <c r="AT7" s="1204"/>
      <c r="AU7" s="1204"/>
      <c r="AV7" s="1204"/>
      <c r="AW7" s="1204"/>
      <c r="AX7" s="1204"/>
      <c r="AY7" s="1204"/>
      <c r="AZ7" s="1067"/>
      <c r="BA7" s="1066" t="s">
        <v>909</v>
      </c>
      <c r="BC7" s="1013" t="s">
        <v>909</v>
      </c>
    </row>
    <row r="8" spans="1:55" x14ac:dyDescent="0.25">
      <c r="A8" s="1149"/>
      <c r="B8" s="1012" t="s">
        <v>910</v>
      </c>
      <c r="C8" s="1011"/>
      <c r="D8" s="1011"/>
      <c r="E8" s="1031"/>
      <c r="F8" s="1037"/>
      <c r="G8" s="1036"/>
      <c r="H8" s="1036"/>
      <c r="I8" s="1036"/>
      <c r="J8" s="1036"/>
      <c r="K8" s="1031"/>
      <c r="L8" s="1036"/>
      <c r="M8" s="1036"/>
      <c r="N8" s="1036"/>
      <c r="O8" s="1036"/>
      <c r="P8" s="1207"/>
      <c r="Q8" s="1208"/>
      <c r="R8" s="1208"/>
      <c r="S8" s="1208"/>
      <c r="T8" s="1208"/>
      <c r="U8" s="1208"/>
      <c r="V8" s="1208"/>
      <c r="W8" s="1208"/>
      <c r="X8" s="1208"/>
      <c r="Y8" s="1208"/>
      <c r="Z8" s="1208"/>
      <c r="AA8" s="1208"/>
      <c r="AB8" s="1209"/>
      <c r="AC8" s="1210"/>
      <c r="AD8" s="1210"/>
      <c r="AE8" s="1210"/>
      <c r="AF8" s="1210"/>
      <c r="AG8" s="1210"/>
      <c r="AH8" s="1210"/>
      <c r="AI8" s="1208"/>
      <c r="AJ8" s="1208"/>
      <c r="AK8" s="1208"/>
      <c r="AL8" s="1208"/>
      <c r="AM8" s="1207"/>
      <c r="AN8" s="1211"/>
      <c r="AO8" s="1211"/>
      <c r="AP8" s="1211"/>
      <c r="AQ8" s="1211"/>
      <c r="AR8" s="1211"/>
      <c r="AS8" s="1211"/>
      <c r="AT8" s="1211"/>
      <c r="AU8" s="1208"/>
      <c r="AV8" s="1208"/>
      <c r="AW8" s="1208"/>
      <c r="AX8" s="1208"/>
      <c r="AY8" s="1211"/>
      <c r="AZ8" s="1036"/>
      <c r="BA8" s="1011" t="s">
        <v>909</v>
      </c>
      <c r="BC8" s="1013" t="s">
        <v>911</v>
      </c>
    </row>
    <row r="9" spans="1:55" x14ac:dyDescent="0.25">
      <c r="A9" s="1149"/>
      <c r="B9" s="1150" t="s">
        <v>912</v>
      </c>
      <c r="C9" s="1011"/>
      <c r="D9" s="1011"/>
      <c r="E9" s="1031"/>
      <c r="F9" s="1037"/>
      <c r="G9" s="1036"/>
      <c r="H9" s="1036"/>
      <c r="I9" s="1036"/>
      <c r="J9" s="1036"/>
      <c r="K9" s="1031"/>
      <c r="L9" s="1036"/>
      <c r="M9" s="1036"/>
      <c r="N9" s="1036"/>
      <c r="O9" s="1036"/>
      <c r="P9" s="1207"/>
      <c r="Q9" s="1208"/>
      <c r="R9" s="1208"/>
      <c r="S9" s="1208"/>
      <c r="T9" s="1208"/>
      <c r="U9" s="1208"/>
      <c r="V9" s="1208"/>
      <c r="W9" s="1208"/>
      <c r="X9" s="1208"/>
      <c r="Y9" s="1208"/>
      <c r="Z9" s="1208"/>
      <c r="AA9" s="1208"/>
      <c r="AB9" s="1209"/>
      <c r="AC9" s="1210"/>
      <c r="AD9" s="1210"/>
      <c r="AE9" s="1210"/>
      <c r="AF9" s="1210"/>
      <c r="AG9" s="1210"/>
      <c r="AH9" s="1210"/>
      <c r="AI9" s="1208"/>
      <c r="AJ9" s="1208"/>
      <c r="AK9" s="1208"/>
      <c r="AL9" s="1208"/>
      <c r="AM9" s="1207"/>
      <c r="AN9" s="1211"/>
      <c r="AO9" s="1211"/>
      <c r="AP9" s="1211"/>
      <c r="AQ9" s="1211"/>
      <c r="AR9" s="1211"/>
      <c r="AS9" s="1211"/>
      <c r="AT9" s="1211"/>
      <c r="AU9" s="1208"/>
      <c r="AV9" s="1208"/>
      <c r="AW9" s="1208"/>
      <c r="AX9" s="1208"/>
      <c r="AY9" s="1211"/>
      <c r="AZ9" s="1036"/>
      <c r="BA9" s="1011" t="s">
        <v>909</v>
      </c>
    </row>
    <row r="10" spans="1:55" ht="31" outlineLevel="1" x14ac:dyDescent="0.25">
      <c r="A10" s="1153">
        <v>2</v>
      </c>
      <c r="B10" s="1154" t="s">
        <v>913</v>
      </c>
      <c r="C10" s="1153" t="s">
        <v>896</v>
      </c>
      <c r="D10" s="1153" t="s">
        <v>914</v>
      </c>
      <c r="E10" s="1212">
        <v>41657</v>
      </c>
      <c r="F10" s="1213">
        <v>41871</v>
      </c>
      <c r="G10" s="1056">
        <f>SUM(G11:G13)</f>
        <v>0.73120000000000007</v>
      </c>
      <c r="H10" s="1056">
        <f>SUM(H11:H13)</f>
        <v>0.73120000000000007</v>
      </c>
      <c r="I10" s="1054"/>
      <c r="J10" s="1054"/>
      <c r="K10" s="1055">
        <v>41871</v>
      </c>
      <c r="L10" s="1054"/>
      <c r="M10" s="1054"/>
      <c r="N10" s="1054"/>
      <c r="O10" s="1032"/>
      <c r="P10" s="1214"/>
      <c r="Q10" s="1214"/>
      <c r="R10" s="1214"/>
      <c r="S10" s="1214"/>
      <c r="T10" s="1214">
        <f>SUM(P10:S10)</f>
        <v>0</v>
      </c>
      <c r="U10" s="1215"/>
      <c r="V10" s="1215"/>
      <c r="W10" s="1215"/>
      <c r="X10" s="1215"/>
      <c r="Y10" s="1215"/>
      <c r="Z10" s="1215"/>
      <c r="AA10" s="1215"/>
      <c r="AB10" s="1216"/>
      <c r="AC10" s="1217"/>
      <c r="AD10" s="1217"/>
      <c r="AE10" s="1217"/>
      <c r="AF10" s="1217"/>
      <c r="AG10" s="1217"/>
      <c r="AH10" s="1217"/>
      <c r="AI10" s="1215"/>
      <c r="AJ10" s="1215"/>
      <c r="AK10" s="1215"/>
      <c r="AL10" s="1215"/>
      <c r="AM10" s="1214"/>
      <c r="AN10" s="1214"/>
      <c r="AO10" s="1214"/>
      <c r="AP10" s="1214"/>
      <c r="AQ10" s="1214">
        <f>SUM(AM10:AP10)</f>
        <v>0</v>
      </c>
      <c r="AR10" s="1215"/>
      <c r="AS10" s="1215"/>
      <c r="AT10" s="1215"/>
      <c r="AU10" s="1215"/>
      <c r="AV10" s="1215"/>
      <c r="AW10" s="1215"/>
      <c r="AX10" s="1215"/>
      <c r="AY10" s="1215"/>
      <c r="AZ10" s="1054"/>
      <c r="BA10" s="1218" t="s">
        <v>909</v>
      </c>
    </row>
    <row r="11" spans="1:55" ht="31" outlineLevel="1" x14ac:dyDescent="0.25">
      <c r="A11" s="1160">
        <v>2.6</v>
      </c>
      <c r="B11" s="1161" t="s">
        <v>1630</v>
      </c>
      <c r="C11" s="1219" t="s">
        <v>898</v>
      </c>
      <c r="D11" s="1160" t="str">
        <f>D10</f>
        <v>MERC/TECH 12/CAPEX/20142015/00876</v>
      </c>
      <c r="E11" s="1220">
        <f>E10</f>
        <v>41657</v>
      </c>
      <c r="F11" s="1037">
        <f>F10</f>
        <v>41871</v>
      </c>
      <c r="G11" s="1057">
        <v>0.2</v>
      </c>
      <c r="H11" s="1057">
        <v>0.2</v>
      </c>
      <c r="I11" s="1054"/>
      <c r="J11" s="1054"/>
      <c r="K11" s="1221">
        <v>41871</v>
      </c>
      <c r="L11" s="1054"/>
      <c r="M11" s="1054"/>
      <c r="N11" s="1054"/>
      <c r="O11" s="1032"/>
      <c r="P11" s="1207">
        <v>0.1988615</v>
      </c>
      <c r="Q11" s="1222"/>
      <c r="R11" s="1222"/>
      <c r="S11" s="1222"/>
      <c r="T11" s="1214">
        <f t="shared" ref="T11:T74" si="0">SUM(P11:S11)</f>
        <v>0.1988615</v>
      </c>
      <c r="U11" s="1223"/>
      <c r="V11" s="1223"/>
      <c r="W11" s="1223"/>
      <c r="X11" s="1223"/>
      <c r="Y11" s="1223"/>
      <c r="Z11" s="1223"/>
      <c r="AA11" s="1223"/>
      <c r="AB11" s="1209">
        <v>1</v>
      </c>
      <c r="AC11" s="1217"/>
      <c r="AD11" s="1217"/>
      <c r="AE11" s="1217"/>
      <c r="AF11" s="1217"/>
      <c r="AG11" s="1217"/>
      <c r="AH11" s="1217"/>
      <c r="AI11" s="1223"/>
      <c r="AJ11" s="1223"/>
      <c r="AK11" s="1223"/>
      <c r="AL11" s="1223"/>
      <c r="AM11" s="1207">
        <v>0.1988615</v>
      </c>
      <c r="AN11" s="1224"/>
      <c r="AO11" s="1224"/>
      <c r="AP11" s="1224"/>
      <c r="AQ11" s="1214">
        <f t="shared" ref="AQ11:AQ74" si="1">SUM(AM11:AP11)</f>
        <v>0.1988615</v>
      </c>
      <c r="AR11" s="1225"/>
      <c r="AS11" s="1225"/>
      <c r="AT11" s="1225"/>
      <c r="AU11" s="1223"/>
      <c r="AV11" s="1223"/>
      <c r="AW11" s="1223"/>
      <c r="AX11" s="1223"/>
      <c r="AY11" s="1225"/>
      <c r="AZ11" s="1054"/>
      <c r="BA11" s="1226" t="s">
        <v>906</v>
      </c>
    </row>
    <row r="12" spans="1:55" ht="46.5" outlineLevel="1" x14ac:dyDescent="0.25">
      <c r="A12" s="1160">
        <v>2.7</v>
      </c>
      <c r="B12" s="1161" t="s">
        <v>1629</v>
      </c>
      <c r="C12" s="1219" t="s">
        <v>898</v>
      </c>
      <c r="D12" s="1160" t="str">
        <f>D11</f>
        <v>MERC/TECH 12/CAPEX/20142015/00876</v>
      </c>
      <c r="E12" s="1220">
        <f>E11</f>
        <v>41657</v>
      </c>
      <c r="F12" s="1037">
        <f>IF(F11=0,"-",F11)</f>
        <v>41871</v>
      </c>
      <c r="G12" s="1057">
        <v>0.2</v>
      </c>
      <c r="H12" s="1057">
        <v>0.2</v>
      </c>
      <c r="I12" s="1054"/>
      <c r="J12" s="1054"/>
      <c r="K12" s="1221">
        <v>41871</v>
      </c>
      <c r="L12" s="1054"/>
      <c r="M12" s="1054"/>
      <c r="N12" s="1054"/>
      <c r="O12" s="1227" t="s">
        <v>1654</v>
      </c>
      <c r="P12" s="1207">
        <v>0.1988615</v>
      </c>
      <c r="Q12" s="1222"/>
      <c r="R12" s="1222"/>
      <c r="S12" s="1222"/>
      <c r="T12" s="1214">
        <f t="shared" si="0"/>
        <v>0.1988615</v>
      </c>
      <c r="U12" s="1223"/>
      <c r="V12" s="1223"/>
      <c r="W12" s="1223"/>
      <c r="X12" s="1223"/>
      <c r="Y12" s="1223"/>
      <c r="Z12" s="1223"/>
      <c r="AA12" s="1223"/>
      <c r="AB12" s="1209">
        <v>1</v>
      </c>
      <c r="AC12" s="1217"/>
      <c r="AD12" s="1217"/>
      <c r="AE12" s="1217"/>
      <c r="AF12" s="1217"/>
      <c r="AG12" s="1217"/>
      <c r="AH12" s="1217"/>
      <c r="AI12" s="1223"/>
      <c r="AJ12" s="1223"/>
      <c r="AK12" s="1223"/>
      <c r="AL12" s="1223"/>
      <c r="AM12" s="1207">
        <v>0.1988615</v>
      </c>
      <c r="AN12" s="1224"/>
      <c r="AO12" s="1224"/>
      <c r="AP12" s="1224"/>
      <c r="AQ12" s="1214">
        <f t="shared" si="1"/>
        <v>0.1988615</v>
      </c>
      <c r="AR12" s="1225"/>
      <c r="AS12" s="1225"/>
      <c r="AT12" s="1225"/>
      <c r="AU12" s="1223"/>
      <c r="AV12" s="1223"/>
      <c r="AW12" s="1223"/>
      <c r="AX12" s="1223"/>
      <c r="AY12" s="1225"/>
      <c r="AZ12" s="1054"/>
      <c r="BA12" s="1226" t="s">
        <v>906</v>
      </c>
    </row>
    <row r="13" spans="1:55" ht="46.5" outlineLevel="1" x14ac:dyDescent="0.25">
      <c r="A13" s="1160"/>
      <c r="B13" s="1161" t="s">
        <v>419</v>
      </c>
      <c r="C13" s="1219" t="s">
        <v>419</v>
      </c>
      <c r="D13" s="1160" t="str">
        <f>D12</f>
        <v>MERC/TECH 12/CAPEX/20142015/00876</v>
      </c>
      <c r="E13" s="1220">
        <f>E12</f>
        <v>41657</v>
      </c>
      <c r="F13" s="1037">
        <f>IF(F12=0,"-",F12)</f>
        <v>41871</v>
      </c>
      <c r="G13" s="1057">
        <v>0.33119999999999999</v>
      </c>
      <c r="H13" s="1057">
        <v>0.33119999999999999</v>
      </c>
      <c r="I13" s="1054"/>
      <c r="J13" s="1054"/>
      <c r="K13" s="1221">
        <v>41871</v>
      </c>
      <c r="L13" s="1054"/>
      <c r="M13" s="1054"/>
      <c r="N13" s="1054"/>
      <c r="O13" s="1227" t="s">
        <v>1654</v>
      </c>
      <c r="P13" s="1207">
        <v>0</v>
      </c>
      <c r="Q13" s="1222"/>
      <c r="R13" s="1222"/>
      <c r="S13" s="1222"/>
      <c r="T13" s="1214">
        <f t="shared" si="0"/>
        <v>0</v>
      </c>
      <c r="U13" s="1223"/>
      <c r="V13" s="1223"/>
      <c r="W13" s="1223"/>
      <c r="X13" s="1223"/>
      <c r="Y13" s="1223"/>
      <c r="Z13" s="1223"/>
      <c r="AA13" s="1223"/>
      <c r="AB13" s="1209" t="s">
        <v>915</v>
      </c>
      <c r="AC13" s="1217"/>
      <c r="AD13" s="1217"/>
      <c r="AE13" s="1217"/>
      <c r="AF13" s="1217"/>
      <c r="AG13" s="1217"/>
      <c r="AH13" s="1217"/>
      <c r="AI13" s="1223"/>
      <c r="AJ13" s="1223"/>
      <c r="AK13" s="1223"/>
      <c r="AL13" s="1223"/>
      <c r="AM13" s="1207">
        <v>0</v>
      </c>
      <c r="AN13" s="1224"/>
      <c r="AO13" s="1224"/>
      <c r="AP13" s="1224"/>
      <c r="AQ13" s="1214">
        <f t="shared" si="1"/>
        <v>0</v>
      </c>
      <c r="AR13" s="1225"/>
      <c r="AS13" s="1225"/>
      <c r="AT13" s="1225"/>
      <c r="AU13" s="1223"/>
      <c r="AV13" s="1223"/>
      <c r="AW13" s="1223"/>
      <c r="AX13" s="1223"/>
      <c r="AY13" s="1225"/>
      <c r="AZ13" s="1054"/>
      <c r="BA13" s="1226" t="s">
        <v>909</v>
      </c>
    </row>
    <row r="14" spans="1:55" ht="31" outlineLevel="1" x14ac:dyDescent="0.25">
      <c r="A14" s="1153">
        <v>6</v>
      </c>
      <c r="B14" s="1154" t="s">
        <v>1628</v>
      </c>
      <c r="C14" s="1153" t="s">
        <v>896</v>
      </c>
      <c r="D14" s="1153" t="s">
        <v>1627</v>
      </c>
      <c r="E14" s="1212">
        <v>42929</v>
      </c>
      <c r="F14" s="1213">
        <v>42997</v>
      </c>
      <c r="G14" s="1056">
        <f>SUM(G15:G18)</f>
        <v>15.104000000000001</v>
      </c>
      <c r="H14" s="1056">
        <f>SUM(H15:H18)</f>
        <v>15.104000000000001</v>
      </c>
      <c r="I14" s="1054"/>
      <c r="J14" s="1054"/>
      <c r="K14" s="1055">
        <v>42997</v>
      </c>
      <c r="L14" s="1054"/>
      <c r="M14" s="1054"/>
      <c r="N14" s="1054"/>
      <c r="O14" s="1032"/>
      <c r="P14" s="1214"/>
      <c r="Q14" s="1214"/>
      <c r="R14" s="1214"/>
      <c r="S14" s="1214"/>
      <c r="T14" s="1214">
        <f t="shared" si="0"/>
        <v>0</v>
      </c>
      <c r="U14" s="1215"/>
      <c r="V14" s="1215"/>
      <c r="W14" s="1215"/>
      <c r="X14" s="1215"/>
      <c r="Y14" s="1215"/>
      <c r="Z14" s="1215"/>
      <c r="AA14" s="1215"/>
      <c r="AB14" s="1216"/>
      <c r="AC14" s="1217"/>
      <c r="AD14" s="1217"/>
      <c r="AE14" s="1217"/>
      <c r="AF14" s="1217"/>
      <c r="AG14" s="1217"/>
      <c r="AH14" s="1217"/>
      <c r="AI14" s="1215"/>
      <c r="AJ14" s="1215"/>
      <c r="AK14" s="1215"/>
      <c r="AL14" s="1215"/>
      <c r="AM14" s="1214"/>
      <c r="AN14" s="1214"/>
      <c r="AO14" s="1214"/>
      <c r="AP14" s="1214"/>
      <c r="AQ14" s="1214">
        <f t="shared" si="1"/>
        <v>0</v>
      </c>
      <c r="AR14" s="1215"/>
      <c r="AS14" s="1215"/>
      <c r="AT14" s="1215"/>
      <c r="AU14" s="1215"/>
      <c r="AV14" s="1215"/>
      <c r="AW14" s="1215"/>
      <c r="AX14" s="1215"/>
      <c r="AY14" s="1215"/>
      <c r="AZ14" s="1054"/>
      <c r="BA14" s="1218" t="s">
        <v>909</v>
      </c>
    </row>
    <row r="15" spans="1:55" ht="31" outlineLevel="1" x14ac:dyDescent="0.25">
      <c r="A15" s="1160">
        <v>6.1</v>
      </c>
      <c r="B15" s="1161" t="s">
        <v>1626</v>
      </c>
      <c r="C15" s="1219" t="s">
        <v>898</v>
      </c>
      <c r="D15" s="1160" t="str">
        <f>D14</f>
        <v>MERC/CAPEX/20172018/04220</v>
      </c>
      <c r="E15" s="1220">
        <f>E14</f>
        <v>42929</v>
      </c>
      <c r="F15" s="1037">
        <f>IF(F14=0,"-",F14)</f>
        <v>42997</v>
      </c>
      <c r="G15" s="1057">
        <v>9.6780000000000008</v>
      </c>
      <c r="H15" s="1057">
        <v>9.6780000000000008</v>
      </c>
      <c r="I15" s="1054"/>
      <c r="J15" s="1054"/>
      <c r="K15" s="1221">
        <v>42997</v>
      </c>
      <c r="L15" s="1053"/>
      <c r="M15" s="1053"/>
      <c r="N15" s="1053"/>
      <c r="O15" s="1228"/>
      <c r="P15" s="1207">
        <v>0</v>
      </c>
      <c r="Q15" s="1229"/>
      <c r="R15" s="1229"/>
      <c r="S15" s="1229"/>
      <c r="T15" s="1214">
        <f t="shared" si="0"/>
        <v>0</v>
      </c>
      <c r="U15" s="1230"/>
      <c r="V15" s="1230"/>
      <c r="W15" s="1063"/>
      <c r="X15" s="1063"/>
      <c r="Y15" s="1063"/>
      <c r="Z15" s="1063"/>
      <c r="AA15" s="1063"/>
      <c r="AB15" s="1231"/>
      <c r="AC15" s="1232"/>
      <c r="AD15" s="1232"/>
      <c r="AE15" s="1232"/>
      <c r="AF15" s="1232"/>
      <c r="AG15" s="1232"/>
      <c r="AH15" s="1232"/>
      <c r="AI15" s="1063"/>
      <c r="AJ15" s="1063"/>
      <c r="AK15" s="1063"/>
      <c r="AL15" s="1063"/>
      <c r="AM15" s="1207">
        <v>0</v>
      </c>
      <c r="AN15" s="1233"/>
      <c r="AO15" s="1233"/>
      <c r="AP15" s="1233"/>
      <c r="AQ15" s="1214">
        <f t="shared" si="1"/>
        <v>0</v>
      </c>
      <c r="AR15" s="1234"/>
      <c r="AS15" s="1234"/>
      <c r="AT15" s="1063"/>
      <c r="AU15" s="1063"/>
      <c r="AV15" s="1063"/>
      <c r="AW15" s="1063"/>
      <c r="AX15" s="1063"/>
      <c r="AY15" s="1234"/>
      <c r="AZ15" s="1053"/>
      <c r="BA15" s="1226" t="s">
        <v>899</v>
      </c>
    </row>
    <row r="16" spans="1:55" ht="22.5" customHeight="1" outlineLevel="1" x14ac:dyDescent="0.25">
      <c r="A16" s="1160"/>
      <c r="B16" s="1161" t="s">
        <v>1625</v>
      </c>
      <c r="C16" s="1235"/>
      <c r="D16" s="1236"/>
      <c r="E16" s="1237"/>
      <c r="F16" s="1238"/>
      <c r="G16" s="1061"/>
      <c r="H16" s="1061"/>
      <c r="I16" s="1060"/>
      <c r="J16" s="1060"/>
      <c r="K16" s="1238"/>
      <c r="L16" s="1065"/>
      <c r="M16" s="1065"/>
      <c r="N16" s="1065"/>
      <c r="O16" s="1039" t="s">
        <v>1655</v>
      </c>
      <c r="P16" s="1207"/>
      <c r="Q16" s="1229"/>
      <c r="R16" s="1229"/>
      <c r="S16" s="1229"/>
      <c r="T16" s="1214">
        <f t="shared" si="0"/>
        <v>0</v>
      </c>
      <c r="U16" s="1229"/>
      <c r="V16" s="1229"/>
      <c r="W16" s="1057">
        <v>3.4190499999999999</v>
      </c>
      <c r="X16" s="1057"/>
      <c r="Y16" s="1057"/>
      <c r="Z16" s="1057"/>
      <c r="AA16" s="1057"/>
      <c r="AB16" s="1231"/>
      <c r="AC16" s="1232"/>
      <c r="AD16" s="1232"/>
      <c r="AE16" s="1232"/>
      <c r="AF16" s="1232"/>
      <c r="AG16" s="1232"/>
      <c r="AH16" s="1232"/>
      <c r="AI16" s="1057"/>
      <c r="AJ16" s="1057"/>
      <c r="AK16" s="1057"/>
      <c r="AL16" s="1057"/>
      <c r="AM16" s="1207"/>
      <c r="AN16" s="1233"/>
      <c r="AO16" s="1233"/>
      <c r="AP16" s="1233"/>
      <c r="AQ16" s="1214">
        <f t="shared" si="1"/>
        <v>0</v>
      </c>
      <c r="AR16" s="1233"/>
      <c r="AS16" s="1233"/>
      <c r="AT16" s="1057">
        <v>3.4190499999999999</v>
      </c>
      <c r="AU16" s="1057"/>
      <c r="AV16" s="1057"/>
      <c r="AW16" s="1057"/>
      <c r="AX16" s="1057"/>
      <c r="AY16" s="1233"/>
      <c r="AZ16" s="1030"/>
      <c r="BA16" s="1160" t="s">
        <v>899</v>
      </c>
    </row>
    <row r="17" spans="1:53" ht="28.5" customHeight="1" outlineLevel="1" x14ac:dyDescent="0.25">
      <c r="A17" s="1160"/>
      <c r="B17" s="1161" t="s">
        <v>1624</v>
      </c>
      <c r="C17" s="1235"/>
      <c r="D17" s="1239"/>
      <c r="E17" s="1240"/>
      <c r="F17" s="1241"/>
      <c r="G17" s="1059"/>
      <c r="H17" s="1059"/>
      <c r="I17" s="1058"/>
      <c r="J17" s="1058"/>
      <c r="K17" s="1241"/>
      <c r="L17" s="1064"/>
      <c r="M17" s="1064"/>
      <c r="N17" s="1064"/>
      <c r="O17" s="1039" t="s">
        <v>1655</v>
      </c>
      <c r="P17" s="1207"/>
      <c r="Q17" s="1229"/>
      <c r="R17" s="1229"/>
      <c r="S17" s="1229"/>
      <c r="T17" s="1214">
        <f t="shared" si="0"/>
        <v>0</v>
      </c>
      <c r="U17" s="1229"/>
      <c r="V17" s="1229"/>
      <c r="W17" s="1057">
        <v>2.9146000000000001</v>
      </c>
      <c r="X17" s="1057"/>
      <c r="Y17" s="1057"/>
      <c r="Z17" s="1057"/>
      <c r="AA17" s="1057"/>
      <c r="AB17" s="1231"/>
      <c r="AC17" s="1232"/>
      <c r="AD17" s="1232"/>
      <c r="AE17" s="1232"/>
      <c r="AF17" s="1232"/>
      <c r="AG17" s="1232"/>
      <c r="AH17" s="1232"/>
      <c r="AI17" s="1057"/>
      <c r="AJ17" s="1057"/>
      <c r="AK17" s="1057"/>
      <c r="AL17" s="1057"/>
      <c r="AM17" s="1207"/>
      <c r="AN17" s="1233"/>
      <c r="AO17" s="1233"/>
      <c r="AP17" s="1233"/>
      <c r="AQ17" s="1214">
        <f t="shared" si="1"/>
        <v>0</v>
      </c>
      <c r="AR17" s="1233"/>
      <c r="AS17" s="1233"/>
      <c r="AT17" s="1057">
        <v>2.9146000000000001</v>
      </c>
      <c r="AU17" s="1057"/>
      <c r="AV17" s="1057"/>
      <c r="AW17" s="1057"/>
      <c r="AX17" s="1057"/>
      <c r="AY17" s="1233"/>
      <c r="AZ17" s="1030"/>
      <c r="BA17" s="1160" t="s">
        <v>899</v>
      </c>
    </row>
    <row r="18" spans="1:53" ht="46.5" outlineLevel="1" x14ac:dyDescent="0.25">
      <c r="A18" s="1160">
        <v>6.2</v>
      </c>
      <c r="B18" s="1161" t="s">
        <v>1623</v>
      </c>
      <c r="C18" s="1219" t="s">
        <v>898</v>
      </c>
      <c r="D18" s="1160" t="str">
        <f>D15</f>
        <v>MERC/CAPEX/20172018/04220</v>
      </c>
      <c r="E18" s="1220">
        <f>E15</f>
        <v>42929</v>
      </c>
      <c r="F18" s="1037">
        <f>IF(F15=0,"-",F15)</f>
        <v>42997</v>
      </c>
      <c r="G18" s="1057">
        <v>5.4260000000000002</v>
      </c>
      <c r="H18" s="1057">
        <v>5.4260000000000002</v>
      </c>
      <c r="I18" s="1054"/>
      <c r="J18" s="1054"/>
      <c r="K18" s="1221">
        <v>42997</v>
      </c>
      <c r="L18" s="1053"/>
      <c r="M18" s="1053"/>
      <c r="N18" s="1053"/>
      <c r="O18" s="1030"/>
      <c r="P18" s="1207">
        <v>0</v>
      </c>
      <c r="Q18" s="1229"/>
      <c r="R18" s="1229"/>
      <c r="S18" s="1229"/>
      <c r="T18" s="1214">
        <f t="shared" si="0"/>
        <v>0</v>
      </c>
      <c r="U18" s="1230"/>
      <c r="V18" s="1230"/>
      <c r="W18" s="1063"/>
      <c r="X18" s="1063"/>
      <c r="Y18" s="1063"/>
      <c r="Z18" s="1063"/>
      <c r="AA18" s="1063"/>
      <c r="AB18" s="1231"/>
      <c r="AC18" s="1232"/>
      <c r="AD18" s="1232"/>
      <c r="AE18" s="1232"/>
      <c r="AF18" s="1232"/>
      <c r="AG18" s="1232"/>
      <c r="AH18" s="1232"/>
      <c r="AI18" s="1063"/>
      <c r="AJ18" s="1063"/>
      <c r="AK18" s="1063"/>
      <c r="AL18" s="1063"/>
      <c r="AM18" s="1207">
        <v>0</v>
      </c>
      <c r="AN18" s="1233"/>
      <c r="AO18" s="1233"/>
      <c r="AP18" s="1233"/>
      <c r="AQ18" s="1214">
        <f t="shared" si="1"/>
        <v>0</v>
      </c>
      <c r="AR18" s="1234"/>
      <c r="AS18" s="1234"/>
      <c r="AT18" s="1063"/>
      <c r="AU18" s="1063"/>
      <c r="AV18" s="1063"/>
      <c r="AW18" s="1063"/>
      <c r="AX18" s="1063"/>
      <c r="AY18" s="1234"/>
      <c r="AZ18" s="1053"/>
      <c r="BA18" s="1226" t="s">
        <v>899</v>
      </c>
    </row>
    <row r="19" spans="1:53" ht="186" outlineLevel="1" x14ac:dyDescent="0.25">
      <c r="A19" s="1160"/>
      <c r="B19" s="1161" t="s">
        <v>1622</v>
      </c>
      <c r="C19" s="1242"/>
      <c r="D19" s="1236"/>
      <c r="E19" s="1237"/>
      <c r="F19" s="1238"/>
      <c r="G19" s="1061"/>
      <c r="H19" s="1061"/>
      <c r="I19" s="1060"/>
      <c r="J19" s="1060"/>
      <c r="K19" s="1238"/>
      <c r="L19" s="1030"/>
      <c r="M19" s="1030"/>
      <c r="N19" s="1030"/>
      <c r="O19" s="1039" t="s">
        <v>1656</v>
      </c>
      <c r="P19" s="1207"/>
      <c r="Q19" s="1229"/>
      <c r="R19" s="1229"/>
      <c r="S19" s="1229"/>
      <c r="T19" s="1214">
        <f t="shared" si="0"/>
        <v>0</v>
      </c>
      <c r="U19" s="1229"/>
      <c r="V19" s="1229"/>
      <c r="W19" s="1057"/>
      <c r="X19" s="1057"/>
      <c r="Y19" s="1057"/>
      <c r="Z19" s="1057"/>
      <c r="AA19" s="1057"/>
      <c r="AB19" s="1231"/>
      <c r="AC19" s="1232"/>
      <c r="AD19" s="1232"/>
      <c r="AE19" s="1232"/>
      <c r="AF19" s="1232"/>
      <c r="AG19" s="1232"/>
      <c r="AH19" s="1232"/>
      <c r="AI19" s="1057"/>
      <c r="AJ19" s="1057"/>
      <c r="AK19" s="1057"/>
      <c r="AL19" s="1057"/>
      <c r="AM19" s="1207"/>
      <c r="AN19" s="1233"/>
      <c r="AO19" s="1233"/>
      <c r="AP19" s="1233"/>
      <c r="AQ19" s="1214">
        <f t="shared" si="1"/>
        <v>0</v>
      </c>
      <c r="AR19" s="1233"/>
      <c r="AS19" s="1062">
        <v>0.45666000000000001</v>
      </c>
      <c r="AT19" s="1057"/>
      <c r="AU19" s="1057"/>
      <c r="AV19" s="1057"/>
      <c r="AW19" s="1057"/>
      <c r="AX19" s="1057"/>
      <c r="AY19" s="1233"/>
      <c r="AZ19" s="1030"/>
      <c r="BA19" s="1160" t="s">
        <v>906</v>
      </c>
    </row>
    <row r="20" spans="1:53" ht="186" outlineLevel="1" x14ac:dyDescent="0.25">
      <c r="A20" s="1160"/>
      <c r="B20" s="1161" t="s">
        <v>1621</v>
      </c>
      <c r="C20" s="1242"/>
      <c r="D20" s="1236"/>
      <c r="E20" s="1237"/>
      <c r="F20" s="1238"/>
      <c r="G20" s="1061"/>
      <c r="H20" s="1061"/>
      <c r="I20" s="1060"/>
      <c r="J20" s="1060"/>
      <c r="K20" s="1238"/>
      <c r="L20" s="1030"/>
      <c r="M20" s="1030"/>
      <c r="N20" s="1030"/>
      <c r="O20" s="1039" t="s">
        <v>1657</v>
      </c>
      <c r="P20" s="1207"/>
      <c r="Q20" s="1229"/>
      <c r="R20" s="1229"/>
      <c r="S20" s="1229"/>
      <c r="T20" s="1214">
        <f t="shared" si="0"/>
        <v>0</v>
      </c>
      <c r="U20" s="1229"/>
      <c r="V20" s="1229"/>
      <c r="W20" s="1057">
        <v>0.65</v>
      </c>
      <c r="X20" s="1057"/>
      <c r="Y20" s="1057"/>
      <c r="Z20" s="1057"/>
      <c r="AA20" s="1057"/>
      <c r="AB20" s="1231"/>
      <c r="AC20" s="1232"/>
      <c r="AD20" s="1232"/>
      <c r="AE20" s="1232"/>
      <c r="AF20" s="1232"/>
      <c r="AG20" s="1232"/>
      <c r="AH20" s="1232"/>
      <c r="AI20" s="1057"/>
      <c r="AJ20" s="1057"/>
      <c r="AK20" s="1057"/>
      <c r="AL20" s="1057"/>
      <c r="AM20" s="1207"/>
      <c r="AN20" s="1233"/>
      <c r="AO20" s="1233"/>
      <c r="AP20" s="1233"/>
      <c r="AQ20" s="1214">
        <f t="shared" si="1"/>
        <v>0</v>
      </c>
      <c r="AR20" s="1233"/>
      <c r="AS20" s="1233"/>
      <c r="AT20" s="1057">
        <v>0.65</v>
      </c>
      <c r="AU20" s="1057"/>
      <c r="AV20" s="1057"/>
      <c r="AW20" s="1057"/>
      <c r="AX20" s="1057"/>
      <c r="AY20" s="1233"/>
      <c r="AZ20" s="1030"/>
      <c r="BA20" s="1160" t="s">
        <v>899</v>
      </c>
    </row>
    <row r="21" spans="1:53" ht="294.5" outlineLevel="1" x14ac:dyDescent="0.25">
      <c r="A21" s="1160"/>
      <c r="B21" s="1161" t="s">
        <v>1620</v>
      </c>
      <c r="C21" s="1243"/>
      <c r="D21" s="1239"/>
      <c r="E21" s="1240"/>
      <c r="F21" s="1241"/>
      <c r="G21" s="1059"/>
      <c r="H21" s="1059"/>
      <c r="I21" s="1058"/>
      <c r="J21" s="1058"/>
      <c r="K21" s="1241"/>
      <c r="L21" s="1030"/>
      <c r="M21" s="1030"/>
      <c r="N21" s="1030"/>
      <c r="O21" s="1039" t="s">
        <v>1658</v>
      </c>
      <c r="P21" s="1207"/>
      <c r="Q21" s="1229"/>
      <c r="R21" s="1229"/>
      <c r="S21" s="1229"/>
      <c r="T21" s="1214">
        <f t="shared" si="0"/>
        <v>0</v>
      </c>
      <c r="U21" s="1229"/>
      <c r="V21" s="1229"/>
      <c r="W21" s="1057">
        <v>3.8231999999999999</v>
      </c>
      <c r="X21" s="1057"/>
      <c r="Y21" s="1057"/>
      <c r="Z21" s="1057"/>
      <c r="AA21" s="1057"/>
      <c r="AB21" s="1231"/>
      <c r="AC21" s="1232"/>
      <c r="AD21" s="1232"/>
      <c r="AE21" s="1232"/>
      <c r="AF21" s="1232"/>
      <c r="AG21" s="1232"/>
      <c r="AH21" s="1232"/>
      <c r="AI21" s="1057"/>
      <c r="AJ21" s="1057"/>
      <c r="AK21" s="1057"/>
      <c r="AL21" s="1057"/>
      <c r="AM21" s="1207"/>
      <c r="AN21" s="1233"/>
      <c r="AO21" s="1233"/>
      <c r="AP21" s="1233"/>
      <c r="AQ21" s="1214">
        <f t="shared" si="1"/>
        <v>0</v>
      </c>
      <c r="AR21" s="1233"/>
      <c r="AS21" s="1233"/>
      <c r="AT21" s="1057">
        <v>3.8231999999999999</v>
      </c>
      <c r="AU21" s="1057"/>
      <c r="AV21" s="1057"/>
      <c r="AW21" s="1057"/>
      <c r="AX21" s="1057"/>
      <c r="AY21" s="1233"/>
      <c r="AZ21" s="1030"/>
      <c r="BA21" s="1160" t="s">
        <v>899</v>
      </c>
    </row>
    <row r="22" spans="1:53" ht="27" customHeight="1" outlineLevel="1" x14ac:dyDescent="0.25">
      <c r="A22" s="1153">
        <v>9</v>
      </c>
      <c r="B22" s="1154" t="s">
        <v>1619</v>
      </c>
      <c r="C22" s="1153" t="s">
        <v>896</v>
      </c>
      <c r="D22" s="1153" t="s">
        <v>1618</v>
      </c>
      <c r="E22" s="1212">
        <v>43049</v>
      </c>
      <c r="F22" s="1213">
        <v>43061</v>
      </c>
      <c r="G22" s="1056">
        <f>SUM(G23:G26)</f>
        <v>14.566664273199997</v>
      </c>
      <c r="H22" s="1056">
        <f>SUM(H23:H26)</f>
        <v>14.566664273199997</v>
      </c>
      <c r="I22" s="1054"/>
      <c r="J22" s="1054"/>
      <c r="K22" s="1055">
        <v>43061</v>
      </c>
      <c r="L22" s="1054"/>
      <c r="M22" s="1054"/>
      <c r="N22" s="1054"/>
      <c r="O22" s="1032"/>
      <c r="P22" s="1214"/>
      <c r="Q22" s="1214"/>
      <c r="R22" s="1214"/>
      <c r="S22" s="1214"/>
      <c r="T22" s="1214">
        <f t="shared" si="0"/>
        <v>0</v>
      </c>
      <c r="U22" s="1215"/>
      <c r="V22" s="1215"/>
      <c r="W22" s="1215"/>
      <c r="X22" s="1215"/>
      <c r="Y22" s="1215"/>
      <c r="Z22" s="1215"/>
      <c r="AA22" s="1215"/>
      <c r="AB22" s="1216"/>
      <c r="AC22" s="1217"/>
      <c r="AD22" s="1217"/>
      <c r="AE22" s="1217"/>
      <c r="AF22" s="1217"/>
      <c r="AG22" s="1217"/>
      <c r="AH22" s="1217"/>
      <c r="AI22" s="1215"/>
      <c r="AJ22" s="1215"/>
      <c r="AK22" s="1215"/>
      <c r="AL22" s="1215"/>
      <c r="AM22" s="1214"/>
      <c r="AN22" s="1214"/>
      <c r="AO22" s="1214"/>
      <c r="AP22" s="1214"/>
      <c r="AQ22" s="1214">
        <f t="shared" si="1"/>
        <v>0</v>
      </c>
      <c r="AR22" s="1215"/>
      <c r="AS22" s="1215"/>
      <c r="AT22" s="1215"/>
      <c r="AU22" s="1215"/>
      <c r="AV22" s="1215"/>
      <c r="AW22" s="1215"/>
      <c r="AX22" s="1215"/>
      <c r="AY22" s="1215"/>
      <c r="AZ22" s="1054"/>
      <c r="BA22" s="1218" t="s">
        <v>909</v>
      </c>
    </row>
    <row r="23" spans="1:53" ht="201.5" outlineLevel="1" x14ac:dyDescent="0.25">
      <c r="A23" s="1160">
        <v>9.1</v>
      </c>
      <c r="B23" s="1161" t="s">
        <v>1617</v>
      </c>
      <c r="C23" s="1219" t="s">
        <v>898</v>
      </c>
      <c r="D23" s="1160" t="str">
        <f t="shared" ref="D23:E26" si="2">D22</f>
        <v>MERC/CAPEX/20162017/04757</v>
      </c>
      <c r="E23" s="1220">
        <f t="shared" si="2"/>
        <v>43049</v>
      </c>
      <c r="F23" s="1037">
        <f>IF(F22=0,"-",F22)</f>
        <v>43061</v>
      </c>
      <c r="G23" s="1057">
        <v>3.7363539351999999</v>
      </c>
      <c r="H23" s="1057">
        <v>3.7363539351999999</v>
      </c>
      <c r="I23" s="1054"/>
      <c r="J23" s="1054"/>
      <c r="K23" s="1221">
        <v>43061</v>
      </c>
      <c r="L23" s="1053"/>
      <c r="M23" s="1053"/>
      <c r="N23" s="1053"/>
      <c r="O23" s="1039" t="s">
        <v>1659</v>
      </c>
      <c r="P23" s="1244">
        <v>0.70901320000000001</v>
      </c>
      <c r="Q23" s="1229">
        <v>0.16871330000000001</v>
      </c>
      <c r="R23" s="1229"/>
      <c r="S23" s="1229">
        <v>0.66608229800000007</v>
      </c>
      <c r="T23" s="1214">
        <f t="shared" si="0"/>
        <v>1.5438087980000001</v>
      </c>
      <c r="U23" s="1234">
        <v>1.9667567530000001</v>
      </c>
      <c r="V23" s="1230">
        <v>0.13142231899999998</v>
      </c>
      <c r="W23" s="1230"/>
      <c r="X23" s="1230"/>
      <c r="Y23" s="1230"/>
      <c r="Z23" s="1230"/>
      <c r="AA23" s="1230"/>
      <c r="AB23" s="1231"/>
      <c r="AC23" s="1232"/>
      <c r="AD23" s="1232"/>
      <c r="AE23" s="1232"/>
      <c r="AF23" s="1232"/>
      <c r="AG23" s="1232"/>
      <c r="AH23" s="1232"/>
      <c r="AI23" s="1230"/>
      <c r="AJ23" s="1230"/>
      <c r="AK23" s="1230"/>
      <c r="AL23" s="1230"/>
      <c r="AM23" s="1244">
        <v>0.70901320000000001</v>
      </c>
      <c r="AN23" s="1233">
        <f>0.1190133+0.0497</f>
        <v>0.16871330000000001</v>
      </c>
      <c r="AO23" s="1233"/>
      <c r="AP23" s="1233">
        <v>0.66608229800000007</v>
      </c>
      <c r="AQ23" s="1214">
        <f t="shared" si="1"/>
        <v>1.5438087980000001</v>
      </c>
      <c r="AR23" s="1234">
        <v>2.4567567530000001</v>
      </c>
      <c r="AS23" s="1230">
        <v>0.25043559999999998</v>
      </c>
      <c r="AT23" s="1234"/>
      <c r="AU23" s="1230"/>
      <c r="AV23" s="1230"/>
      <c r="AW23" s="1230"/>
      <c r="AX23" s="1230"/>
      <c r="AY23" s="1234"/>
      <c r="AZ23" s="1053"/>
      <c r="BA23" s="1245" t="s">
        <v>906</v>
      </c>
    </row>
    <row r="24" spans="1:53" ht="170.5" outlineLevel="1" x14ac:dyDescent="0.25">
      <c r="A24" s="1160">
        <v>9.1999999999999993</v>
      </c>
      <c r="B24" s="1161" t="s">
        <v>1616</v>
      </c>
      <c r="C24" s="1219" t="s">
        <v>898</v>
      </c>
      <c r="D24" s="1160" t="str">
        <f t="shared" si="2"/>
        <v>MERC/CAPEX/20162017/04757</v>
      </c>
      <c r="E24" s="1220">
        <f t="shared" si="2"/>
        <v>43049</v>
      </c>
      <c r="F24" s="1037">
        <f>IF(F23=0,"-",F23)</f>
        <v>43061</v>
      </c>
      <c r="G24" s="1057">
        <v>0.50088049999999995</v>
      </c>
      <c r="H24" s="1057">
        <v>0.50088049999999995</v>
      </c>
      <c r="I24" s="1054"/>
      <c r="J24" s="1054"/>
      <c r="K24" s="1221">
        <v>43061</v>
      </c>
      <c r="L24" s="1053"/>
      <c r="M24" s="1053"/>
      <c r="N24" s="1053"/>
      <c r="O24" s="1039" t="s">
        <v>1660</v>
      </c>
      <c r="P24" s="1244">
        <v>0</v>
      </c>
      <c r="Q24" s="1233">
        <v>0.11901328100000001</v>
      </c>
      <c r="R24" s="1229"/>
      <c r="S24" s="1229"/>
      <c r="T24" s="1214">
        <f t="shared" si="0"/>
        <v>0.11901328100000001</v>
      </c>
      <c r="U24" s="1234"/>
      <c r="V24" s="1230"/>
      <c r="W24" s="1230"/>
      <c r="X24" s="1230"/>
      <c r="Y24" s="1230"/>
      <c r="Z24" s="1230"/>
      <c r="AA24" s="1230"/>
      <c r="AB24" s="1231"/>
      <c r="AC24" s="1232"/>
      <c r="AD24" s="1232"/>
      <c r="AE24" s="1232"/>
      <c r="AF24" s="1232"/>
      <c r="AG24" s="1232"/>
      <c r="AH24" s="1232"/>
      <c r="AI24" s="1230"/>
      <c r="AJ24" s="1230"/>
      <c r="AK24" s="1230"/>
      <c r="AL24" s="1230"/>
      <c r="AM24" s="1244">
        <v>0</v>
      </c>
      <c r="AN24" s="1233">
        <v>0.11901328100000001</v>
      </c>
      <c r="AO24" s="1233"/>
      <c r="AP24" s="1233"/>
      <c r="AQ24" s="1214">
        <f t="shared" si="1"/>
        <v>0.11901328100000001</v>
      </c>
      <c r="AR24" s="1234"/>
      <c r="AS24" s="1234"/>
      <c r="AT24" s="1234"/>
      <c r="AU24" s="1230"/>
      <c r="AV24" s="1230"/>
      <c r="AW24" s="1230"/>
      <c r="AX24" s="1230"/>
      <c r="AY24" s="1234"/>
      <c r="AZ24" s="1053"/>
      <c r="BA24" s="1245" t="s">
        <v>906</v>
      </c>
    </row>
    <row r="25" spans="1:53" ht="124" outlineLevel="1" x14ac:dyDescent="0.25">
      <c r="A25" s="1160">
        <v>9.3000000000000007</v>
      </c>
      <c r="B25" s="1161" t="s">
        <v>1615</v>
      </c>
      <c r="C25" s="1219" t="s">
        <v>898</v>
      </c>
      <c r="D25" s="1160" t="str">
        <f t="shared" si="2"/>
        <v>MERC/CAPEX/20162017/04757</v>
      </c>
      <c r="E25" s="1220">
        <f t="shared" si="2"/>
        <v>43049</v>
      </c>
      <c r="F25" s="1037">
        <f>IF(F24=0,"-",F24)</f>
        <v>43061</v>
      </c>
      <c r="G25" s="1057">
        <v>0.74832697199999998</v>
      </c>
      <c r="H25" s="1057">
        <v>0.74832697199999998</v>
      </c>
      <c r="I25" s="1054"/>
      <c r="J25" s="1054"/>
      <c r="K25" s="1221">
        <v>43061</v>
      </c>
      <c r="L25" s="1053"/>
      <c r="M25" s="1053"/>
      <c r="N25" s="1053"/>
      <c r="O25" s="1039" t="s">
        <v>1661</v>
      </c>
      <c r="P25" s="1244">
        <v>0.17</v>
      </c>
      <c r="Q25" s="1229"/>
      <c r="R25" s="1229"/>
      <c r="S25" s="1229"/>
      <c r="T25" s="1214">
        <f t="shared" si="0"/>
        <v>0.17</v>
      </c>
      <c r="U25" s="1234"/>
      <c r="V25" s="1230"/>
      <c r="W25" s="1230"/>
      <c r="X25" s="1230"/>
      <c r="Y25" s="1230"/>
      <c r="Z25" s="1230"/>
      <c r="AA25" s="1230"/>
      <c r="AB25" s="1231"/>
      <c r="AC25" s="1232"/>
      <c r="AD25" s="1232"/>
      <c r="AE25" s="1232"/>
      <c r="AF25" s="1232"/>
      <c r="AG25" s="1232"/>
      <c r="AH25" s="1232"/>
      <c r="AI25" s="1230"/>
      <c r="AJ25" s="1230"/>
      <c r="AK25" s="1230"/>
      <c r="AL25" s="1230"/>
      <c r="AM25" s="1244">
        <v>0.17</v>
      </c>
      <c r="AN25" s="1233"/>
      <c r="AO25" s="1233"/>
      <c r="AP25" s="1233"/>
      <c r="AQ25" s="1214">
        <f t="shared" si="1"/>
        <v>0.17</v>
      </c>
      <c r="AR25" s="1234"/>
      <c r="AS25" s="1234"/>
      <c r="AT25" s="1234"/>
      <c r="AU25" s="1230"/>
      <c r="AV25" s="1230"/>
      <c r="AW25" s="1230"/>
      <c r="AX25" s="1230"/>
      <c r="AY25" s="1234"/>
      <c r="AZ25" s="1053"/>
      <c r="BA25" s="1245" t="s">
        <v>906</v>
      </c>
    </row>
    <row r="26" spans="1:53" ht="186" outlineLevel="1" x14ac:dyDescent="0.25">
      <c r="A26" s="1160">
        <v>9.4</v>
      </c>
      <c r="B26" s="1161" t="s">
        <v>1614</v>
      </c>
      <c r="C26" s="1219" t="s">
        <v>898</v>
      </c>
      <c r="D26" s="1160" t="str">
        <f t="shared" si="2"/>
        <v>MERC/CAPEX/20162017/04757</v>
      </c>
      <c r="E26" s="1220">
        <f t="shared" si="2"/>
        <v>43049</v>
      </c>
      <c r="F26" s="1037">
        <f>IF(F25=0,"-",F25)</f>
        <v>43061</v>
      </c>
      <c r="G26" s="1057">
        <v>9.5811028659999984</v>
      </c>
      <c r="H26" s="1057">
        <v>9.5811028659999984</v>
      </c>
      <c r="I26" s="1054"/>
      <c r="J26" s="1054"/>
      <c r="K26" s="1221">
        <v>43061</v>
      </c>
      <c r="L26" s="1053"/>
      <c r="M26" s="1053"/>
      <c r="N26" s="1053"/>
      <c r="O26" s="1039" t="s">
        <v>1662</v>
      </c>
      <c r="P26" s="1244">
        <v>0.5</v>
      </c>
      <c r="Q26" s="1229">
        <v>1.5830580080000001</v>
      </c>
      <c r="R26" s="1229">
        <v>0.164615916</v>
      </c>
      <c r="S26" s="1229"/>
      <c r="T26" s="1214">
        <f t="shared" si="0"/>
        <v>2.2476739239999999</v>
      </c>
      <c r="U26" s="1234">
        <v>1.8060422469999999</v>
      </c>
      <c r="V26" s="1230"/>
      <c r="W26" s="1230"/>
      <c r="X26" s="1230"/>
      <c r="Y26" s="1230"/>
      <c r="Z26" s="1230"/>
      <c r="AA26" s="1230"/>
      <c r="AB26" s="1231"/>
      <c r="AC26" s="1232"/>
      <c r="AD26" s="1232"/>
      <c r="AE26" s="1232"/>
      <c r="AF26" s="1232"/>
      <c r="AG26" s="1232"/>
      <c r="AH26" s="1232"/>
      <c r="AI26" s="1230"/>
      <c r="AJ26" s="1230"/>
      <c r="AK26" s="1230"/>
      <c r="AL26" s="1230"/>
      <c r="AM26" s="1244">
        <v>0.5</v>
      </c>
      <c r="AN26" s="1229">
        <v>1.5830580080000001</v>
      </c>
      <c r="AO26" s="1229">
        <v>0.164615916</v>
      </c>
      <c r="AP26" s="1233"/>
      <c r="AQ26" s="1214">
        <f t="shared" si="1"/>
        <v>2.2476739239999999</v>
      </c>
      <c r="AR26" s="1234">
        <v>1.8060422469999999</v>
      </c>
      <c r="AS26" s="1234"/>
      <c r="AT26" s="1234"/>
      <c r="AU26" s="1230"/>
      <c r="AV26" s="1230"/>
      <c r="AW26" s="1230"/>
      <c r="AX26" s="1230"/>
      <c r="AY26" s="1234"/>
      <c r="AZ26" s="1053"/>
      <c r="BA26" s="1245" t="s">
        <v>906</v>
      </c>
    </row>
    <row r="27" spans="1:53" ht="31" outlineLevel="1" x14ac:dyDescent="0.25">
      <c r="A27" s="1153">
        <v>10</v>
      </c>
      <c r="B27" s="1154" t="s">
        <v>1612</v>
      </c>
      <c r="C27" s="1153" t="s">
        <v>896</v>
      </c>
      <c r="D27" s="1153" t="s">
        <v>1613</v>
      </c>
      <c r="E27" s="1212">
        <v>43110</v>
      </c>
      <c r="F27" s="1213">
        <v>43137</v>
      </c>
      <c r="G27" s="1056">
        <f>SUM(G28:G28)</f>
        <v>13.345000000000001</v>
      </c>
      <c r="H27" s="1056">
        <f>SUM(H28:H28)</f>
        <v>13.345000000000001</v>
      </c>
      <c r="I27" s="1054"/>
      <c r="J27" s="1054"/>
      <c r="K27" s="1055">
        <v>43137</v>
      </c>
      <c r="L27" s="1054"/>
      <c r="M27" s="1054"/>
      <c r="N27" s="1054"/>
      <c r="O27" s="1032"/>
      <c r="P27" s="1214"/>
      <c r="Q27" s="1214"/>
      <c r="R27" s="1214"/>
      <c r="S27" s="1214"/>
      <c r="T27" s="1214">
        <f t="shared" si="0"/>
        <v>0</v>
      </c>
      <c r="U27" s="1215"/>
      <c r="V27" s="1215"/>
      <c r="W27" s="1215"/>
      <c r="X27" s="1215"/>
      <c r="Y27" s="1215"/>
      <c r="Z27" s="1215"/>
      <c r="AA27" s="1215"/>
      <c r="AB27" s="1216"/>
      <c r="AC27" s="1217"/>
      <c r="AD27" s="1217"/>
      <c r="AE27" s="1217"/>
      <c r="AF27" s="1217"/>
      <c r="AG27" s="1217"/>
      <c r="AH27" s="1217"/>
      <c r="AI27" s="1215"/>
      <c r="AJ27" s="1215"/>
      <c r="AK27" s="1215"/>
      <c r="AL27" s="1215"/>
      <c r="AM27" s="1214"/>
      <c r="AN27" s="1214"/>
      <c r="AO27" s="1214"/>
      <c r="AP27" s="1214"/>
      <c r="AQ27" s="1214">
        <f t="shared" si="1"/>
        <v>0</v>
      </c>
      <c r="AR27" s="1215"/>
      <c r="AS27" s="1215"/>
      <c r="AT27" s="1215"/>
      <c r="AU27" s="1215"/>
      <c r="AV27" s="1215"/>
      <c r="AW27" s="1215"/>
      <c r="AX27" s="1215"/>
      <c r="AY27" s="1215"/>
      <c r="AZ27" s="1054"/>
      <c r="BA27" s="1218" t="s">
        <v>909</v>
      </c>
    </row>
    <row r="28" spans="1:53" ht="77.5" outlineLevel="1" x14ac:dyDescent="0.25">
      <c r="A28" s="1160">
        <v>10.1</v>
      </c>
      <c r="B28" s="1161" t="s">
        <v>1612</v>
      </c>
      <c r="C28" s="1219" t="s">
        <v>898</v>
      </c>
      <c r="D28" s="1160" t="str">
        <f>D27</f>
        <v>MERC/CAPEX/20172018/0198</v>
      </c>
      <c r="E28" s="1220">
        <f>E27</f>
        <v>43110</v>
      </c>
      <c r="F28" s="1037">
        <f>IF(F27=0,"-",F27)</f>
        <v>43137</v>
      </c>
      <c r="G28" s="1057">
        <v>13.345000000000001</v>
      </c>
      <c r="H28" s="1057">
        <v>13.345000000000001</v>
      </c>
      <c r="I28" s="1054"/>
      <c r="J28" s="1054"/>
      <c r="K28" s="1221">
        <v>43137</v>
      </c>
      <c r="L28" s="1053"/>
      <c r="M28" s="1053"/>
      <c r="N28" s="1053"/>
      <c r="O28" s="1246" t="s">
        <v>1663</v>
      </c>
      <c r="P28" s="1207">
        <v>0</v>
      </c>
      <c r="Q28" s="1229"/>
      <c r="R28" s="1229"/>
      <c r="S28" s="1229"/>
      <c r="T28" s="1214">
        <f t="shared" si="0"/>
        <v>0</v>
      </c>
      <c r="U28" s="1230"/>
      <c r="V28" s="1230"/>
      <c r="W28" s="1230"/>
      <c r="X28" s="1230">
        <v>14.55025</v>
      </c>
      <c r="Y28" s="1230"/>
      <c r="Z28" s="1230"/>
      <c r="AA28" s="1230"/>
      <c r="AB28" s="1231"/>
      <c r="AC28" s="1232"/>
      <c r="AD28" s="1232"/>
      <c r="AE28" s="1232"/>
      <c r="AF28" s="1232"/>
      <c r="AG28" s="1232"/>
      <c r="AH28" s="1232"/>
      <c r="AI28" s="1230"/>
      <c r="AJ28" s="1230"/>
      <c r="AK28" s="1230"/>
      <c r="AL28" s="1230"/>
      <c r="AM28" s="1207">
        <v>0</v>
      </c>
      <c r="AN28" s="1233"/>
      <c r="AO28" s="1233"/>
      <c r="AP28" s="1233"/>
      <c r="AQ28" s="1214">
        <f t="shared" si="1"/>
        <v>0</v>
      </c>
      <c r="AR28" s="1234"/>
      <c r="AS28" s="1230"/>
      <c r="AT28" s="1230"/>
      <c r="AU28" s="1230">
        <v>14.55025</v>
      </c>
      <c r="AV28" s="1230"/>
      <c r="AW28" s="1230"/>
      <c r="AX28" s="1230"/>
      <c r="AY28" s="1234"/>
      <c r="AZ28" s="1053"/>
      <c r="BA28" s="1245" t="s">
        <v>899</v>
      </c>
    </row>
    <row r="29" spans="1:53" ht="31" outlineLevel="1" x14ac:dyDescent="0.25">
      <c r="A29" s="1153">
        <v>14</v>
      </c>
      <c r="B29" s="1154" t="s">
        <v>922</v>
      </c>
      <c r="C29" s="1153" t="s">
        <v>896</v>
      </c>
      <c r="D29" s="1153" t="s">
        <v>923</v>
      </c>
      <c r="E29" s="1212">
        <v>43494</v>
      </c>
      <c r="F29" s="1213">
        <v>44029</v>
      </c>
      <c r="G29" s="1056">
        <f>SUM(G30:G40)</f>
        <v>8.9129999999999985</v>
      </c>
      <c r="H29" s="1056">
        <f>SUM(H30:H40)</f>
        <v>8.9129999999999985</v>
      </c>
      <c r="I29" s="1054"/>
      <c r="J29" s="1054"/>
      <c r="K29" s="1055">
        <v>44029</v>
      </c>
      <c r="L29" s="1054"/>
      <c r="M29" s="1054"/>
      <c r="N29" s="1054"/>
      <c r="O29" s="1032"/>
      <c r="P29" s="1214"/>
      <c r="Q29" s="1214"/>
      <c r="R29" s="1214"/>
      <c r="S29" s="1214"/>
      <c r="T29" s="1214">
        <f t="shared" si="0"/>
        <v>0</v>
      </c>
      <c r="U29" s="1215"/>
      <c r="V29" s="1215"/>
      <c r="W29" s="1215"/>
      <c r="X29" s="1215"/>
      <c r="Y29" s="1215"/>
      <c r="Z29" s="1215"/>
      <c r="AA29" s="1215"/>
      <c r="AB29" s="1216"/>
      <c r="AC29" s="1217"/>
      <c r="AD29" s="1217"/>
      <c r="AE29" s="1217"/>
      <c r="AF29" s="1217"/>
      <c r="AG29" s="1217"/>
      <c r="AH29" s="1217"/>
      <c r="AI29" s="1215"/>
      <c r="AJ29" s="1215"/>
      <c r="AK29" s="1215"/>
      <c r="AL29" s="1215"/>
      <c r="AM29" s="1214"/>
      <c r="AN29" s="1214"/>
      <c r="AO29" s="1214"/>
      <c r="AP29" s="1214"/>
      <c r="AQ29" s="1214">
        <f t="shared" si="1"/>
        <v>0</v>
      </c>
      <c r="AR29" s="1215"/>
      <c r="AS29" s="1215"/>
      <c r="AT29" s="1215"/>
      <c r="AU29" s="1215"/>
      <c r="AV29" s="1215"/>
      <c r="AW29" s="1215"/>
      <c r="AX29" s="1215"/>
      <c r="AY29" s="1215"/>
      <c r="AZ29" s="1054"/>
      <c r="BA29" s="1218" t="s">
        <v>909</v>
      </c>
    </row>
    <row r="30" spans="1:53" ht="31" outlineLevel="1" x14ac:dyDescent="0.25">
      <c r="A30" s="1164">
        <v>14.1</v>
      </c>
      <c r="B30" s="1161" t="s">
        <v>924</v>
      </c>
      <c r="C30" s="1219" t="s">
        <v>898</v>
      </c>
      <c r="D30" s="1160" t="str">
        <f>D29</f>
        <v>MERC/CAPEX/2020-21/WFH/SBR/ 19</v>
      </c>
      <c r="E30" s="1220">
        <f>E29</f>
        <v>43494</v>
      </c>
      <c r="F30" s="1037">
        <f>F29</f>
        <v>44029</v>
      </c>
      <c r="G30" s="1052">
        <v>0.10199999999999999</v>
      </c>
      <c r="H30" s="1052">
        <v>0.10199999999999999</v>
      </c>
      <c r="I30" s="1054"/>
      <c r="J30" s="1054"/>
      <c r="K30" s="1221">
        <v>44029</v>
      </c>
      <c r="L30" s="1053"/>
      <c r="M30" s="1053"/>
      <c r="N30" s="1053"/>
      <c r="O30" s="1030"/>
      <c r="P30" s="1207">
        <v>0</v>
      </c>
      <c r="Q30" s="1229"/>
      <c r="R30" s="1229"/>
      <c r="S30" s="1229"/>
      <c r="T30" s="1214">
        <f t="shared" si="0"/>
        <v>0</v>
      </c>
      <c r="U30" s="1230"/>
      <c r="V30" s="1230"/>
      <c r="W30" s="1230"/>
      <c r="X30" s="1230"/>
      <c r="Y30" s="1230"/>
      <c r="Z30" s="1230"/>
      <c r="AA30" s="1230"/>
      <c r="AB30" s="1231"/>
      <c r="AC30" s="1232"/>
      <c r="AD30" s="1232"/>
      <c r="AE30" s="1232"/>
      <c r="AF30" s="1232"/>
      <c r="AG30" s="1232"/>
      <c r="AH30" s="1232"/>
      <c r="AI30" s="1230"/>
      <c r="AJ30" s="1230"/>
      <c r="AK30" s="1230"/>
      <c r="AL30" s="1230"/>
      <c r="AM30" s="1207">
        <v>0</v>
      </c>
      <c r="AN30" s="1233"/>
      <c r="AO30" s="1233"/>
      <c r="AP30" s="1233"/>
      <c r="AQ30" s="1214">
        <f t="shared" si="1"/>
        <v>0</v>
      </c>
      <c r="AR30" s="1234"/>
      <c r="AS30" s="1230"/>
      <c r="AT30" s="1234"/>
      <c r="AU30" s="1230"/>
      <c r="AV30" s="1230"/>
      <c r="AW30" s="1230"/>
      <c r="AX30" s="1230"/>
      <c r="AY30" s="1234"/>
      <c r="AZ30" s="1053"/>
      <c r="BA30" s="1218" t="s">
        <v>906</v>
      </c>
    </row>
    <row r="31" spans="1:53" ht="77.5" outlineLevel="1" x14ac:dyDescent="0.35">
      <c r="A31" s="1164">
        <v>14.2</v>
      </c>
      <c r="B31" s="1161" t="s">
        <v>1611</v>
      </c>
      <c r="C31" s="1219" t="s">
        <v>898</v>
      </c>
      <c r="D31" s="1160" t="str">
        <f t="shared" ref="D31:F40" si="3">D30</f>
        <v>MERC/CAPEX/2020-21/WFH/SBR/ 19</v>
      </c>
      <c r="E31" s="1220">
        <f t="shared" si="3"/>
        <v>43494</v>
      </c>
      <c r="F31" s="1037">
        <f t="shared" si="3"/>
        <v>44029</v>
      </c>
      <c r="G31" s="1052">
        <v>0.17299999999999999</v>
      </c>
      <c r="H31" s="1052">
        <v>0.17299999999999999</v>
      </c>
      <c r="I31" s="1054"/>
      <c r="J31" s="1054"/>
      <c r="K31" s="1221">
        <v>44029</v>
      </c>
      <c r="L31" s="1053"/>
      <c r="M31" s="1053"/>
      <c r="N31" s="1053"/>
      <c r="O31" s="1246" t="s">
        <v>1664</v>
      </c>
      <c r="P31" s="1207">
        <v>0</v>
      </c>
      <c r="Q31" s="1229"/>
      <c r="R31" s="1229"/>
      <c r="S31" s="1229"/>
      <c r="T31" s="1214">
        <f t="shared" si="0"/>
        <v>0</v>
      </c>
      <c r="U31" s="1230"/>
      <c r="V31" s="1247">
        <v>0.11446000000000001</v>
      </c>
      <c r="W31" s="1230"/>
      <c r="X31" s="1230"/>
      <c r="Y31" s="1230"/>
      <c r="Z31" s="1230"/>
      <c r="AA31" s="1230"/>
      <c r="AB31" s="1231"/>
      <c r="AC31" s="1232"/>
      <c r="AD31" s="1232"/>
      <c r="AE31" s="1232"/>
      <c r="AF31" s="1232"/>
      <c r="AG31" s="1232"/>
      <c r="AH31" s="1232"/>
      <c r="AI31" s="1230"/>
      <c r="AJ31" s="1230"/>
      <c r="AK31" s="1230"/>
      <c r="AL31" s="1230"/>
      <c r="AM31" s="1207">
        <v>0</v>
      </c>
      <c r="AN31" s="1233"/>
      <c r="AO31" s="1233"/>
      <c r="AP31" s="1233"/>
      <c r="AQ31" s="1214">
        <f t="shared" si="1"/>
        <v>0</v>
      </c>
      <c r="AR31" s="1234"/>
      <c r="AS31" s="1230">
        <v>0.11446000000000001</v>
      </c>
      <c r="AT31" s="1234"/>
      <c r="AU31" s="1230"/>
      <c r="AV31" s="1230"/>
      <c r="AW31" s="1230"/>
      <c r="AX31" s="1230"/>
      <c r="AY31" s="1234"/>
      <c r="AZ31" s="1053"/>
      <c r="BA31" s="1218" t="s">
        <v>906</v>
      </c>
    </row>
    <row r="32" spans="1:53" ht="77.5" outlineLevel="1" x14ac:dyDescent="0.35">
      <c r="A32" s="1164">
        <v>14.3</v>
      </c>
      <c r="B32" s="1161" t="s">
        <v>1610</v>
      </c>
      <c r="C32" s="1219" t="s">
        <v>898</v>
      </c>
      <c r="D32" s="1160" t="str">
        <f t="shared" si="3"/>
        <v>MERC/CAPEX/2020-21/WFH/SBR/ 19</v>
      </c>
      <c r="E32" s="1220">
        <f t="shared" si="3"/>
        <v>43494</v>
      </c>
      <c r="F32" s="1037">
        <f t="shared" si="3"/>
        <v>44029</v>
      </c>
      <c r="G32" s="1052">
        <v>0.17299999999999999</v>
      </c>
      <c r="H32" s="1052">
        <v>0.17299999999999999</v>
      </c>
      <c r="I32" s="1054"/>
      <c r="J32" s="1054"/>
      <c r="K32" s="1221">
        <v>44029</v>
      </c>
      <c r="L32" s="1053"/>
      <c r="M32" s="1053"/>
      <c r="N32" s="1053"/>
      <c r="O32" s="1246" t="s">
        <v>1664</v>
      </c>
      <c r="P32" s="1207">
        <v>0</v>
      </c>
      <c r="Q32" s="1229"/>
      <c r="R32" s="1229"/>
      <c r="S32" s="1229"/>
      <c r="T32" s="1214">
        <f t="shared" si="0"/>
        <v>0</v>
      </c>
      <c r="U32" s="1230"/>
      <c r="V32" s="1247">
        <v>0.11446000000000001</v>
      </c>
      <c r="W32" s="1230"/>
      <c r="X32" s="1230"/>
      <c r="Y32" s="1230"/>
      <c r="Z32" s="1230"/>
      <c r="AA32" s="1230"/>
      <c r="AB32" s="1231"/>
      <c r="AC32" s="1232"/>
      <c r="AD32" s="1232"/>
      <c r="AE32" s="1232"/>
      <c r="AF32" s="1232"/>
      <c r="AG32" s="1232"/>
      <c r="AH32" s="1232"/>
      <c r="AI32" s="1230"/>
      <c r="AJ32" s="1230"/>
      <c r="AK32" s="1230"/>
      <c r="AL32" s="1230"/>
      <c r="AM32" s="1207">
        <v>0</v>
      </c>
      <c r="AN32" s="1233"/>
      <c r="AO32" s="1233"/>
      <c r="AP32" s="1233"/>
      <c r="AQ32" s="1214">
        <f t="shared" si="1"/>
        <v>0</v>
      </c>
      <c r="AR32" s="1234"/>
      <c r="AS32" s="1230">
        <v>0.11446000000000001</v>
      </c>
      <c r="AT32" s="1234"/>
      <c r="AU32" s="1230"/>
      <c r="AV32" s="1230"/>
      <c r="AW32" s="1230"/>
      <c r="AX32" s="1230"/>
      <c r="AY32" s="1234"/>
      <c r="AZ32" s="1053"/>
      <c r="BA32" s="1218" t="s">
        <v>906</v>
      </c>
    </row>
    <row r="33" spans="1:53" ht="31" outlineLevel="1" x14ac:dyDescent="0.25">
      <c r="A33" s="1164">
        <v>14.4</v>
      </c>
      <c r="B33" s="1161" t="s">
        <v>1609</v>
      </c>
      <c r="C33" s="1219" t="s">
        <v>898</v>
      </c>
      <c r="D33" s="1160" t="str">
        <f t="shared" si="3"/>
        <v>MERC/CAPEX/2020-21/WFH/SBR/ 19</v>
      </c>
      <c r="E33" s="1220">
        <f t="shared" si="3"/>
        <v>43494</v>
      </c>
      <c r="F33" s="1037">
        <f t="shared" si="3"/>
        <v>44029</v>
      </c>
      <c r="G33" s="1052">
        <v>5.8999999999999997E-2</v>
      </c>
      <c r="H33" s="1052">
        <v>5.8999999999999997E-2</v>
      </c>
      <c r="I33" s="1054"/>
      <c r="J33" s="1054"/>
      <c r="K33" s="1221">
        <v>44029</v>
      </c>
      <c r="L33" s="1053"/>
      <c r="M33" s="1053"/>
      <c r="N33" s="1053"/>
      <c r="O33" s="1246" t="s">
        <v>1665</v>
      </c>
      <c r="P33" s="1207">
        <v>0</v>
      </c>
      <c r="Q33" s="1229"/>
      <c r="R33" s="1229"/>
      <c r="S33" s="1229"/>
      <c r="T33" s="1214">
        <f t="shared" si="0"/>
        <v>0</v>
      </c>
      <c r="U33" s="1230"/>
      <c r="V33" s="1230">
        <v>2.02455E-2</v>
      </c>
      <c r="W33" s="1230"/>
      <c r="X33" s="1230"/>
      <c r="Y33" s="1230"/>
      <c r="Z33" s="1230"/>
      <c r="AA33" s="1230"/>
      <c r="AB33" s="1231"/>
      <c r="AC33" s="1232"/>
      <c r="AD33" s="1232"/>
      <c r="AE33" s="1232"/>
      <c r="AF33" s="1232"/>
      <c r="AG33" s="1232"/>
      <c r="AH33" s="1232"/>
      <c r="AI33" s="1230"/>
      <c r="AJ33" s="1230"/>
      <c r="AK33" s="1230"/>
      <c r="AL33" s="1230"/>
      <c r="AM33" s="1207">
        <v>0</v>
      </c>
      <c r="AN33" s="1233"/>
      <c r="AO33" s="1233"/>
      <c r="AP33" s="1233"/>
      <c r="AQ33" s="1214">
        <f t="shared" si="1"/>
        <v>0</v>
      </c>
      <c r="AR33" s="1234"/>
      <c r="AS33" s="1234">
        <v>2.02455E-2</v>
      </c>
      <c r="AT33" s="1234"/>
      <c r="AU33" s="1230"/>
      <c r="AV33" s="1230"/>
      <c r="AW33" s="1230"/>
      <c r="AX33" s="1230"/>
      <c r="AY33" s="1234"/>
      <c r="AZ33" s="1053"/>
      <c r="BA33" s="1218" t="s">
        <v>906</v>
      </c>
    </row>
    <row r="34" spans="1:53" ht="124" outlineLevel="1" x14ac:dyDescent="0.25">
      <c r="A34" s="1164">
        <v>14.5</v>
      </c>
      <c r="B34" s="1161" t="s">
        <v>1608</v>
      </c>
      <c r="C34" s="1219" t="s">
        <v>898</v>
      </c>
      <c r="D34" s="1160" t="str">
        <f t="shared" si="3"/>
        <v>MERC/CAPEX/2020-21/WFH/SBR/ 19</v>
      </c>
      <c r="E34" s="1220">
        <f t="shared" si="3"/>
        <v>43494</v>
      </c>
      <c r="F34" s="1037">
        <f t="shared" si="3"/>
        <v>44029</v>
      </c>
      <c r="G34" s="1052">
        <v>1.954</v>
      </c>
      <c r="H34" s="1052">
        <v>1.954</v>
      </c>
      <c r="I34" s="1054"/>
      <c r="J34" s="1054"/>
      <c r="K34" s="1221">
        <v>44029</v>
      </c>
      <c r="L34" s="1053"/>
      <c r="M34" s="1053"/>
      <c r="N34" s="1053"/>
      <c r="O34" s="1246" t="s">
        <v>1666</v>
      </c>
      <c r="P34" s="1207">
        <v>0</v>
      </c>
      <c r="Q34" s="1229"/>
      <c r="R34" s="1229"/>
      <c r="S34" s="1229"/>
      <c r="T34" s="1214">
        <f t="shared" si="0"/>
        <v>0</v>
      </c>
      <c r="U34" s="1230"/>
      <c r="V34" s="1230"/>
      <c r="W34" s="1230">
        <v>1.954</v>
      </c>
      <c r="X34" s="1230"/>
      <c r="Y34" s="1230"/>
      <c r="Z34" s="1230"/>
      <c r="AA34" s="1230"/>
      <c r="AB34" s="1231"/>
      <c r="AC34" s="1232"/>
      <c r="AD34" s="1232"/>
      <c r="AE34" s="1232"/>
      <c r="AF34" s="1232"/>
      <c r="AG34" s="1232"/>
      <c r="AH34" s="1232"/>
      <c r="AI34" s="1230"/>
      <c r="AJ34" s="1230"/>
      <c r="AK34" s="1230"/>
      <c r="AL34" s="1230"/>
      <c r="AM34" s="1207">
        <v>0</v>
      </c>
      <c r="AN34" s="1233"/>
      <c r="AO34" s="1233"/>
      <c r="AP34" s="1233"/>
      <c r="AQ34" s="1214">
        <f t="shared" si="1"/>
        <v>0</v>
      </c>
      <c r="AR34" s="1234"/>
      <c r="AS34" s="1230"/>
      <c r="AT34" s="1230">
        <v>1.954</v>
      </c>
      <c r="AU34" s="1230"/>
      <c r="AV34" s="1230"/>
      <c r="AW34" s="1230"/>
      <c r="AX34" s="1230"/>
      <c r="AY34" s="1234"/>
      <c r="AZ34" s="1053"/>
      <c r="BA34" s="1218" t="s">
        <v>899</v>
      </c>
    </row>
    <row r="35" spans="1:53" ht="124" outlineLevel="1" x14ac:dyDescent="0.25">
      <c r="A35" s="1164">
        <v>14.6</v>
      </c>
      <c r="B35" s="1161" t="s">
        <v>1607</v>
      </c>
      <c r="C35" s="1219" t="s">
        <v>898</v>
      </c>
      <c r="D35" s="1160" t="str">
        <f t="shared" si="3"/>
        <v>MERC/CAPEX/2020-21/WFH/SBR/ 19</v>
      </c>
      <c r="E35" s="1220">
        <f t="shared" si="3"/>
        <v>43494</v>
      </c>
      <c r="F35" s="1037">
        <f t="shared" si="3"/>
        <v>44029</v>
      </c>
      <c r="G35" s="1052">
        <v>2.0270000000000001</v>
      </c>
      <c r="H35" s="1052">
        <v>2.0270000000000001</v>
      </c>
      <c r="I35" s="1054"/>
      <c r="J35" s="1054"/>
      <c r="K35" s="1221">
        <v>44029</v>
      </c>
      <c r="L35" s="1053"/>
      <c r="M35" s="1053"/>
      <c r="N35" s="1053"/>
      <c r="O35" s="1246" t="s">
        <v>1666</v>
      </c>
      <c r="P35" s="1207">
        <v>0</v>
      </c>
      <c r="Q35" s="1229"/>
      <c r="R35" s="1229"/>
      <c r="S35" s="1229"/>
      <c r="T35" s="1214">
        <f t="shared" si="0"/>
        <v>0</v>
      </c>
      <c r="U35" s="1230"/>
      <c r="V35" s="1230">
        <v>2.0502972000000002</v>
      </c>
      <c r="W35" s="1230"/>
      <c r="X35" s="1230"/>
      <c r="Y35" s="1230"/>
      <c r="Z35" s="1230"/>
      <c r="AA35" s="1230"/>
      <c r="AB35" s="1231"/>
      <c r="AC35" s="1232"/>
      <c r="AD35" s="1232"/>
      <c r="AE35" s="1232"/>
      <c r="AF35" s="1232"/>
      <c r="AG35" s="1232"/>
      <c r="AH35" s="1232"/>
      <c r="AI35" s="1230"/>
      <c r="AJ35" s="1230"/>
      <c r="AK35" s="1230"/>
      <c r="AL35" s="1230"/>
      <c r="AM35" s="1207">
        <v>0</v>
      </c>
      <c r="AN35" s="1233"/>
      <c r="AO35" s="1233"/>
      <c r="AP35" s="1233"/>
      <c r="AQ35" s="1214">
        <f t="shared" si="1"/>
        <v>0</v>
      </c>
      <c r="AR35" s="1234"/>
      <c r="AS35" s="1230">
        <v>1.5936372000000001</v>
      </c>
      <c r="AT35" s="1230"/>
      <c r="AU35" s="1230"/>
      <c r="AV35" s="1230"/>
      <c r="AW35" s="1230"/>
      <c r="AX35" s="1230"/>
      <c r="AY35" s="1234"/>
      <c r="AZ35" s="1053"/>
      <c r="BA35" s="1218" t="s">
        <v>899</v>
      </c>
    </row>
    <row r="36" spans="1:53" ht="93" outlineLevel="1" x14ac:dyDescent="0.25">
      <c r="A36" s="1164">
        <v>14.7</v>
      </c>
      <c r="B36" s="1161" t="s">
        <v>1606</v>
      </c>
      <c r="C36" s="1219" t="s">
        <v>898</v>
      </c>
      <c r="D36" s="1160" t="str">
        <f t="shared" si="3"/>
        <v>MERC/CAPEX/2020-21/WFH/SBR/ 19</v>
      </c>
      <c r="E36" s="1220">
        <f t="shared" si="3"/>
        <v>43494</v>
      </c>
      <c r="F36" s="1037">
        <f t="shared" si="3"/>
        <v>44029</v>
      </c>
      <c r="G36" s="1052">
        <v>0.87</v>
      </c>
      <c r="H36" s="1052">
        <v>0.87</v>
      </c>
      <c r="I36" s="1054"/>
      <c r="J36" s="1054"/>
      <c r="K36" s="1221">
        <v>44029</v>
      </c>
      <c r="L36" s="1053"/>
      <c r="M36" s="1053"/>
      <c r="N36" s="1053"/>
      <c r="O36" s="1246" t="s">
        <v>1667</v>
      </c>
      <c r="P36" s="1207">
        <v>0</v>
      </c>
      <c r="Q36" s="1229"/>
      <c r="R36" s="1229"/>
      <c r="S36" s="1229"/>
      <c r="T36" s="1214">
        <f t="shared" si="0"/>
        <v>0</v>
      </c>
      <c r="U36" s="1230"/>
      <c r="V36" s="1230"/>
      <c r="W36" s="1230">
        <v>0.87</v>
      </c>
      <c r="X36" s="1230"/>
      <c r="Y36" s="1230"/>
      <c r="Z36" s="1230"/>
      <c r="AA36" s="1230"/>
      <c r="AB36" s="1231"/>
      <c r="AC36" s="1232"/>
      <c r="AD36" s="1232"/>
      <c r="AE36" s="1232"/>
      <c r="AF36" s="1232"/>
      <c r="AG36" s="1232"/>
      <c r="AH36" s="1232"/>
      <c r="AI36" s="1230"/>
      <c r="AJ36" s="1230"/>
      <c r="AK36" s="1230"/>
      <c r="AL36" s="1230"/>
      <c r="AM36" s="1207">
        <v>0</v>
      </c>
      <c r="AN36" s="1233"/>
      <c r="AO36" s="1233"/>
      <c r="AP36" s="1233"/>
      <c r="AQ36" s="1214">
        <f t="shared" si="1"/>
        <v>0</v>
      </c>
      <c r="AR36" s="1234"/>
      <c r="AS36" s="1230"/>
      <c r="AT36" s="1230">
        <v>0.87</v>
      </c>
      <c r="AU36" s="1230"/>
      <c r="AV36" s="1230"/>
      <c r="AW36" s="1230"/>
      <c r="AX36" s="1230"/>
      <c r="AY36" s="1234"/>
      <c r="AZ36" s="1053"/>
      <c r="BA36" s="1218" t="s">
        <v>899</v>
      </c>
    </row>
    <row r="37" spans="1:53" ht="93" outlineLevel="1" x14ac:dyDescent="0.25">
      <c r="A37" s="1164">
        <v>14.8</v>
      </c>
      <c r="B37" s="1161" t="s">
        <v>1605</v>
      </c>
      <c r="C37" s="1219" t="s">
        <v>898</v>
      </c>
      <c r="D37" s="1160" t="str">
        <f t="shared" si="3"/>
        <v>MERC/CAPEX/2020-21/WFH/SBR/ 19</v>
      </c>
      <c r="E37" s="1220">
        <f t="shared" si="3"/>
        <v>43494</v>
      </c>
      <c r="F37" s="1037">
        <f t="shared" si="3"/>
        <v>44029</v>
      </c>
      <c r="G37" s="1052">
        <v>0.46700000000000003</v>
      </c>
      <c r="H37" s="1052">
        <v>0.46700000000000003</v>
      </c>
      <c r="I37" s="1054"/>
      <c r="J37" s="1054"/>
      <c r="K37" s="1221">
        <v>44029</v>
      </c>
      <c r="L37" s="1053"/>
      <c r="M37" s="1053"/>
      <c r="N37" s="1053"/>
      <c r="O37" s="1246" t="s">
        <v>1668</v>
      </c>
      <c r="P37" s="1207">
        <v>0</v>
      </c>
      <c r="Q37" s="1229"/>
      <c r="R37" s="1229"/>
      <c r="S37" s="1229"/>
      <c r="T37" s="1214">
        <f t="shared" si="0"/>
        <v>0</v>
      </c>
      <c r="U37" s="1230"/>
      <c r="V37" s="1230"/>
      <c r="W37" s="1230">
        <v>0.46700000000000003</v>
      </c>
      <c r="X37" s="1230"/>
      <c r="Y37" s="1230"/>
      <c r="Z37" s="1230"/>
      <c r="AA37" s="1230"/>
      <c r="AB37" s="1231"/>
      <c r="AC37" s="1232"/>
      <c r="AD37" s="1232"/>
      <c r="AE37" s="1232"/>
      <c r="AF37" s="1232"/>
      <c r="AG37" s="1232"/>
      <c r="AH37" s="1232"/>
      <c r="AI37" s="1230"/>
      <c r="AJ37" s="1230"/>
      <c r="AK37" s="1230"/>
      <c r="AL37" s="1230"/>
      <c r="AM37" s="1207">
        <v>0</v>
      </c>
      <c r="AN37" s="1233"/>
      <c r="AO37" s="1233"/>
      <c r="AP37" s="1233"/>
      <c r="AQ37" s="1214">
        <f t="shared" si="1"/>
        <v>0</v>
      </c>
      <c r="AR37" s="1234"/>
      <c r="AS37" s="1230"/>
      <c r="AT37" s="1230">
        <v>0.46700000000000003</v>
      </c>
      <c r="AU37" s="1230"/>
      <c r="AV37" s="1230"/>
      <c r="AW37" s="1230"/>
      <c r="AX37" s="1230"/>
      <c r="AY37" s="1234"/>
      <c r="AZ37" s="1053"/>
      <c r="BA37" s="1218" t="s">
        <v>899</v>
      </c>
    </row>
    <row r="38" spans="1:53" ht="41.5" customHeight="1" outlineLevel="1" x14ac:dyDescent="0.25">
      <c r="A38" s="1164">
        <v>14.9</v>
      </c>
      <c r="B38" s="1161" t="s">
        <v>1604</v>
      </c>
      <c r="C38" s="1219" t="s">
        <v>898</v>
      </c>
      <c r="D38" s="1160" t="str">
        <f t="shared" si="3"/>
        <v>MERC/CAPEX/2020-21/WFH/SBR/ 19</v>
      </c>
      <c r="E38" s="1220">
        <f t="shared" si="3"/>
        <v>43494</v>
      </c>
      <c r="F38" s="1037">
        <f t="shared" si="3"/>
        <v>44029</v>
      </c>
      <c r="G38" s="1052">
        <v>0.69100000000000006</v>
      </c>
      <c r="H38" s="1052">
        <v>0.69100000000000006</v>
      </c>
      <c r="I38" s="1054"/>
      <c r="J38" s="1054"/>
      <c r="K38" s="1221">
        <v>44029</v>
      </c>
      <c r="L38" s="1053"/>
      <c r="M38" s="1053"/>
      <c r="N38" s="1053"/>
      <c r="O38" s="1246" t="s">
        <v>1669</v>
      </c>
      <c r="P38" s="1207">
        <v>0</v>
      </c>
      <c r="Q38" s="1229"/>
      <c r="R38" s="1229"/>
      <c r="S38" s="1229"/>
      <c r="T38" s="1214">
        <f t="shared" si="0"/>
        <v>0</v>
      </c>
      <c r="U38" s="1230"/>
      <c r="V38" s="1230">
        <v>0.69730939999999997</v>
      </c>
      <c r="W38" s="1230"/>
      <c r="X38" s="1230"/>
      <c r="Y38" s="1230"/>
      <c r="Z38" s="1230"/>
      <c r="AA38" s="1230"/>
      <c r="AB38" s="1231"/>
      <c r="AC38" s="1232"/>
      <c r="AD38" s="1232"/>
      <c r="AE38" s="1232"/>
      <c r="AF38" s="1232"/>
      <c r="AG38" s="1232"/>
      <c r="AH38" s="1232"/>
      <c r="AI38" s="1230"/>
      <c r="AJ38" s="1230"/>
      <c r="AK38" s="1230"/>
      <c r="AL38" s="1230"/>
      <c r="AM38" s="1207">
        <v>0</v>
      </c>
      <c r="AN38" s="1233"/>
      <c r="AO38" s="1233"/>
      <c r="AP38" s="1233"/>
      <c r="AQ38" s="1214">
        <f t="shared" si="1"/>
        <v>0</v>
      </c>
      <c r="AR38" s="1234"/>
      <c r="AS38" s="1230">
        <v>0.68498999999999999</v>
      </c>
      <c r="AT38" s="1230"/>
      <c r="AU38" s="1230"/>
      <c r="AV38" s="1230"/>
      <c r="AW38" s="1230"/>
      <c r="AX38" s="1230"/>
      <c r="AY38" s="1234"/>
      <c r="AZ38" s="1053"/>
      <c r="BA38" s="1218" t="s">
        <v>899</v>
      </c>
    </row>
    <row r="39" spans="1:53" ht="186" outlineLevel="1" x14ac:dyDescent="0.25">
      <c r="A39" s="1165">
        <v>14.1</v>
      </c>
      <c r="B39" s="1161" t="s">
        <v>1603</v>
      </c>
      <c r="C39" s="1219" t="s">
        <v>898</v>
      </c>
      <c r="D39" s="1160" t="str">
        <f t="shared" si="3"/>
        <v>MERC/CAPEX/2020-21/WFH/SBR/ 19</v>
      </c>
      <c r="E39" s="1220">
        <f t="shared" si="3"/>
        <v>43494</v>
      </c>
      <c r="F39" s="1037">
        <f t="shared" si="3"/>
        <v>44029</v>
      </c>
      <c r="G39" s="1052">
        <v>1.5469999999999999</v>
      </c>
      <c r="H39" s="1052">
        <v>1.5469999999999999</v>
      </c>
      <c r="I39" s="1032"/>
      <c r="J39" s="1032"/>
      <c r="K39" s="1221">
        <v>44029</v>
      </c>
      <c r="L39" s="1030"/>
      <c r="M39" s="1030"/>
      <c r="N39" s="1030"/>
      <c r="O39" s="1039" t="s">
        <v>1670</v>
      </c>
      <c r="P39" s="1207">
        <v>0</v>
      </c>
      <c r="Q39" s="1229"/>
      <c r="R39" s="1229"/>
      <c r="S39" s="1229"/>
      <c r="T39" s="1214">
        <f t="shared" si="0"/>
        <v>0</v>
      </c>
      <c r="U39" s="1229"/>
      <c r="V39" s="1229"/>
      <c r="W39" s="1229">
        <v>1.5469999999999999</v>
      </c>
      <c r="X39" s="1229"/>
      <c r="Y39" s="1229"/>
      <c r="Z39" s="1229"/>
      <c r="AA39" s="1229"/>
      <c r="AB39" s="1231"/>
      <c r="AC39" s="1232"/>
      <c r="AD39" s="1232"/>
      <c r="AE39" s="1232"/>
      <c r="AF39" s="1232"/>
      <c r="AG39" s="1232"/>
      <c r="AH39" s="1232"/>
      <c r="AI39" s="1229"/>
      <c r="AJ39" s="1229"/>
      <c r="AK39" s="1229"/>
      <c r="AL39" s="1229"/>
      <c r="AM39" s="1207">
        <v>0</v>
      </c>
      <c r="AN39" s="1233"/>
      <c r="AO39" s="1233"/>
      <c r="AP39" s="1233"/>
      <c r="AQ39" s="1214">
        <f t="shared" si="1"/>
        <v>0</v>
      </c>
      <c r="AR39" s="1233"/>
      <c r="AS39" s="1229"/>
      <c r="AT39" s="1229">
        <v>1.5469999999999999</v>
      </c>
      <c r="AU39" s="1229"/>
      <c r="AV39" s="1229"/>
      <c r="AW39" s="1229"/>
      <c r="AX39" s="1229"/>
      <c r="AY39" s="1233"/>
      <c r="AZ39" s="1030"/>
      <c r="BA39" s="1248" t="s">
        <v>899</v>
      </c>
    </row>
    <row r="40" spans="1:53" outlineLevel="1" x14ac:dyDescent="0.25">
      <c r="A40" s="1160"/>
      <c r="B40" s="1161" t="s">
        <v>419</v>
      </c>
      <c r="C40" s="1219" t="s">
        <v>419</v>
      </c>
      <c r="D40" s="1160" t="str">
        <f t="shared" si="3"/>
        <v>MERC/CAPEX/2020-21/WFH/SBR/ 19</v>
      </c>
      <c r="E40" s="1220">
        <f t="shared" si="3"/>
        <v>43494</v>
      </c>
      <c r="F40" s="1037">
        <f t="shared" si="3"/>
        <v>44029</v>
      </c>
      <c r="G40" s="1052">
        <v>0.85</v>
      </c>
      <c r="H40" s="1052">
        <v>0.85</v>
      </c>
      <c r="I40" s="1032"/>
      <c r="J40" s="1032"/>
      <c r="K40" s="1037">
        <f>IF(F40=0,"-",F40)</f>
        <v>44029</v>
      </c>
      <c r="L40" s="1030"/>
      <c r="M40" s="1030"/>
      <c r="N40" s="1030"/>
      <c r="O40" s="1030"/>
      <c r="P40" s="1207">
        <v>0</v>
      </c>
      <c r="Q40" s="1229"/>
      <c r="R40" s="1229"/>
      <c r="S40" s="1229"/>
      <c r="T40" s="1214">
        <f t="shared" si="0"/>
        <v>0</v>
      </c>
      <c r="U40" s="1229"/>
      <c r="V40" s="1229"/>
      <c r="W40" s="1229"/>
      <c r="X40" s="1229"/>
      <c r="Y40" s="1229"/>
      <c r="Z40" s="1229"/>
      <c r="AA40" s="1229"/>
      <c r="AB40" s="1231"/>
      <c r="AC40" s="1232"/>
      <c r="AD40" s="1232"/>
      <c r="AE40" s="1232"/>
      <c r="AF40" s="1232"/>
      <c r="AG40" s="1232"/>
      <c r="AH40" s="1232"/>
      <c r="AI40" s="1229"/>
      <c r="AJ40" s="1229"/>
      <c r="AK40" s="1229"/>
      <c r="AL40" s="1229"/>
      <c r="AM40" s="1207">
        <v>0</v>
      </c>
      <c r="AN40" s="1233"/>
      <c r="AO40" s="1233"/>
      <c r="AP40" s="1233"/>
      <c r="AQ40" s="1214">
        <f t="shared" si="1"/>
        <v>0</v>
      </c>
      <c r="AR40" s="1233"/>
      <c r="AS40" s="1233"/>
      <c r="AT40" s="1233"/>
      <c r="AU40" s="1229"/>
      <c r="AV40" s="1229"/>
      <c r="AW40" s="1229"/>
      <c r="AX40" s="1229"/>
      <c r="AY40" s="1233"/>
      <c r="AZ40" s="1030"/>
      <c r="BA40" s="1248" t="s">
        <v>909</v>
      </c>
    </row>
    <row r="41" spans="1:53" x14ac:dyDescent="0.25">
      <c r="A41" s="1160"/>
      <c r="B41" s="1161"/>
      <c r="C41" s="1219"/>
      <c r="D41" s="1160"/>
      <c r="E41" s="1220"/>
      <c r="F41" s="1037"/>
      <c r="G41" s="1052"/>
      <c r="H41" s="1052"/>
      <c r="I41" s="1032"/>
      <c r="J41" s="1032"/>
      <c r="K41" s="1037"/>
      <c r="L41" s="1030"/>
      <c r="M41" s="1030"/>
      <c r="N41" s="1030"/>
      <c r="O41" s="1030"/>
      <c r="P41" s="1207"/>
      <c r="Q41" s="1229"/>
      <c r="R41" s="1229"/>
      <c r="S41" s="1229"/>
      <c r="T41" s="1214">
        <f t="shared" si="0"/>
        <v>0</v>
      </c>
      <c r="U41" s="1229"/>
      <c r="V41" s="1229"/>
      <c r="W41" s="1229"/>
      <c r="X41" s="1229"/>
      <c r="Y41" s="1229"/>
      <c r="Z41" s="1229"/>
      <c r="AA41" s="1229"/>
      <c r="AB41" s="1231"/>
      <c r="AC41" s="1232"/>
      <c r="AD41" s="1232"/>
      <c r="AE41" s="1232"/>
      <c r="AF41" s="1232"/>
      <c r="AG41" s="1232"/>
      <c r="AH41" s="1232"/>
      <c r="AI41" s="1229"/>
      <c r="AJ41" s="1229"/>
      <c r="AK41" s="1229"/>
      <c r="AL41" s="1229"/>
      <c r="AM41" s="1207"/>
      <c r="AN41" s="1233"/>
      <c r="AO41" s="1233"/>
      <c r="AP41" s="1233"/>
      <c r="AQ41" s="1214">
        <f t="shared" si="1"/>
        <v>0</v>
      </c>
      <c r="AR41" s="1233"/>
      <c r="AS41" s="1233"/>
      <c r="AT41" s="1233"/>
      <c r="AU41" s="1229"/>
      <c r="AV41" s="1229"/>
      <c r="AW41" s="1229"/>
      <c r="AX41" s="1229"/>
      <c r="AY41" s="1233"/>
      <c r="AZ41" s="1030"/>
      <c r="BA41" s="1248"/>
    </row>
    <row r="42" spans="1:53" s="1253" customFormat="1" x14ac:dyDescent="0.25">
      <c r="A42" s="1047"/>
      <c r="B42" s="1150" t="s">
        <v>1602</v>
      </c>
      <c r="C42" s="1047"/>
      <c r="D42" s="1047"/>
      <c r="E42" s="1049"/>
      <c r="F42" s="1051"/>
      <c r="G42" s="1048"/>
      <c r="H42" s="1048"/>
      <c r="I42" s="1048"/>
      <c r="J42" s="1050"/>
      <c r="K42" s="1049"/>
      <c r="L42" s="1048"/>
      <c r="M42" s="1048"/>
      <c r="N42" s="1048"/>
      <c r="O42" s="1048"/>
      <c r="P42" s="1249"/>
      <c r="Q42" s="1250"/>
      <c r="R42" s="1250"/>
      <c r="S42" s="1250"/>
      <c r="T42" s="1214">
        <f t="shared" si="0"/>
        <v>0</v>
      </c>
      <c r="U42" s="1250"/>
      <c r="V42" s="1250"/>
      <c r="W42" s="1250"/>
      <c r="X42" s="1251"/>
      <c r="Y42" s="1251"/>
      <c r="Z42" s="1251"/>
      <c r="AA42" s="1251"/>
      <c r="AB42" s="1250"/>
      <c r="AC42" s="1252"/>
      <c r="AD42" s="1252"/>
      <c r="AE42" s="1252"/>
      <c r="AF42" s="1252"/>
      <c r="AG42" s="1252"/>
      <c r="AH42" s="1252"/>
      <c r="AI42" s="1252"/>
      <c r="AJ42" s="1252"/>
      <c r="AK42" s="1252"/>
      <c r="AL42" s="1252"/>
      <c r="AM42" s="1249"/>
      <c r="AN42" s="1251"/>
      <c r="AO42" s="1251"/>
      <c r="AP42" s="1251"/>
      <c r="AQ42" s="1214">
        <f t="shared" si="1"/>
        <v>0</v>
      </c>
      <c r="AR42" s="1251"/>
      <c r="AS42" s="1251"/>
      <c r="AT42" s="1251"/>
      <c r="AU42" s="1251"/>
      <c r="AV42" s="1251"/>
      <c r="AW42" s="1251"/>
      <c r="AX42" s="1251"/>
      <c r="AY42" s="1251"/>
      <c r="AZ42" s="1048"/>
      <c r="BA42" s="1047"/>
    </row>
    <row r="43" spans="1:53" s="1253" customFormat="1" ht="46.5" outlineLevel="1" x14ac:dyDescent="0.25">
      <c r="A43" s="1044">
        <v>1</v>
      </c>
      <c r="B43" s="1169" t="s">
        <v>1601</v>
      </c>
      <c r="C43" s="1044"/>
      <c r="D43" s="1044"/>
      <c r="E43" s="1041"/>
      <c r="F43" s="1043"/>
      <c r="G43" s="1254">
        <v>14.34</v>
      </c>
      <c r="H43" s="1040"/>
      <c r="I43" s="1040"/>
      <c r="J43" s="1042"/>
      <c r="K43" s="1041"/>
      <c r="L43" s="1040"/>
      <c r="M43" s="1040"/>
      <c r="N43" s="1040"/>
      <c r="O43" s="1039" t="s">
        <v>1600</v>
      </c>
      <c r="P43" s="1255"/>
      <c r="Q43" s="1256"/>
      <c r="R43" s="1256"/>
      <c r="S43" s="1256"/>
      <c r="T43" s="1214">
        <f t="shared" si="0"/>
        <v>0</v>
      </c>
      <c r="U43" s="1256"/>
      <c r="V43" s="1256"/>
      <c r="W43" s="1254">
        <v>14.34</v>
      </c>
      <c r="X43" s="1254"/>
      <c r="Y43" s="1254"/>
      <c r="Z43" s="1254"/>
      <c r="AA43" s="1254"/>
      <c r="AB43" s="1256"/>
      <c r="AC43" s="1257"/>
      <c r="AD43" s="1257"/>
      <c r="AE43" s="1257"/>
      <c r="AF43" s="1257"/>
      <c r="AG43" s="1257"/>
      <c r="AH43" s="1257"/>
      <c r="AI43" s="1257"/>
      <c r="AJ43" s="1257"/>
      <c r="AK43" s="1257"/>
      <c r="AL43" s="1257"/>
      <c r="AM43" s="1255"/>
      <c r="AN43" s="1254"/>
      <c r="AO43" s="1254"/>
      <c r="AP43" s="1254"/>
      <c r="AQ43" s="1214">
        <f t="shared" si="1"/>
        <v>0</v>
      </c>
      <c r="AR43" s="1254"/>
      <c r="AS43" s="1254"/>
      <c r="AT43" s="1254">
        <v>14.34</v>
      </c>
      <c r="AU43" s="1254"/>
      <c r="AV43" s="1254"/>
      <c r="AW43" s="1254"/>
      <c r="AX43" s="1254"/>
      <c r="AY43" s="1254"/>
      <c r="AZ43" s="1040"/>
      <c r="BA43" s="1044" t="s">
        <v>899</v>
      </c>
    </row>
    <row r="44" spans="1:53" s="1253" customFormat="1" ht="46.5" outlineLevel="1" x14ac:dyDescent="0.25">
      <c r="A44" s="1044">
        <v>2</v>
      </c>
      <c r="B44" s="1169" t="s">
        <v>1599</v>
      </c>
      <c r="C44" s="1044"/>
      <c r="D44" s="1044"/>
      <c r="E44" s="1041"/>
      <c r="F44" s="1043"/>
      <c r="G44" s="1254">
        <v>0.92</v>
      </c>
      <c r="H44" s="1040"/>
      <c r="I44" s="1040"/>
      <c r="J44" s="1042"/>
      <c r="K44" s="1041"/>
      <c r="L44" s="1040"/>
      <c r="M44" s="1040"/>
      <c r="N44" s="1040"/>
      <c r="O44" s="1039" t="s">
        <v>1596</v>
      </c>
      <c r="P44" s="1255"/>
      <c r="Q44" s="1256"/>
      <c r="R44" s="1256"/>
      <c r="S44" s="1256"/>
      <c r="T44" s="1214">
        <f t="shared" si="0"/>
        <v>0</v>
      </c>
      <c r="U44" s="1256"/>
      <c r="V44" s="1256"/>
      <c r="W44" s="1254">
        <v>0.92</v>
      </c>
      <c r="X44" s="1254"/>
      <c r="Y44" s="1254"/>
      <c r="Z44" s="1254"/>
      <c r="AA44" s="1254"/>
      <c r="AB44" s="1256"/>
      <c r="AC44" s="1257"/>
      <c r="AD44" s="1257"/>
      <c r="AE44" s="1257"/>
      <c r="AF44" s="1257"/>
      <c r="AG44" s="1257"/>
      <c r="AH44" s="1257"/>
      <c r="AI44" s="1257"/>
      <c r="AJ44" s="1257"/>
      <c r="AK44" s="1257"/>
      <c r="AL44" s="1257"/>
      <c r="AM44" s="1255"/>
      <c r="AN44" s="1254"/>
      <c r="AO44" s="1254"/>
      <c r="AP44" s="1254"/>
      <c r="AQ44" s="1214">
        <f t="shared" si="1"/>
        <v>0</v>
      </c>
      <c r="AR44" s="1254"/>
      <c r="AS44" s="1254"/>
      <c r="AT44" s="1254">
        <v>0.92</v>
      </c>
      <c r="AU44" s="1254"/>
      <c r="AV44" s="1254"/>
      <c r="AW44" s="1254"/>
      <c r="AX44" s="1254"/>
      <c r="AY44" s="1254"/>
      <c r="AZ44" s="1040"/>
      <c r="BA44" s="1044" t="s">
        <v>899</v>
      </c>
    </row>
    <row r="45" spans="1:53" s="1253" customFormat="1" ht="46.5" outlineLevel="1" x14ac:dyDescent="0.25">
      <c r="A45" s="1044">
        <v>3</v>
      </c>
      <c r="B45" s="1169" t="s">
        <v>1598</v>
      </c>
      <c r="C45" s="1044"/>
      <c r="D45" s="1044"/>
      <c r="E45" s="1041"/>
      <c r="F45" s="1043"/>
      <c r="G45" s="1253">
        <v>12.69</v>
      </c>
      <c r="H45" s="1040"/>
      <c r="I45" s="1040"/>
      <c r="J45" s="1042"/>
      <c r="K45" s="1041"/>
      <c r="L45" s="1040"/>
      <c r="M45" s="1040"/>
      <c r="N45" s="1040"/>
      <c r="O45" s="1039" t="s">
        <v>1596</v>
      </c>
      <c r="P45" s="1255"/>
      <c r="Q45" s="1256"/>
      <c r="R45" s="1256"/>
      <c r="S45" s="1256"/>
      <c r="T45" s="1214">
        <f t="shared" si="0"/>
        <v>0</v>
      </c>
      <c r="U45" s="1256"/>
      <c r="V45" s="1256"/>
      <c r="W45" s="1253">
        <v>12.69</v>
      </c>
      <c r="X45" s="1254"/>
      <c r="Y45" s="1254"/>
      <c r="Z45" s="1254"/>
      <c r="AA45" s="1254"/>
      <c r="AB45" s="1256"/>
      <c r="AC45" s="1257"/>
      <c r="AD45" s="1257"/>
      <c r="AE45" s="1257"/>
      <c r="AF45" s="1257"/>
      <c r="AG45" s="1257"/>
      <c r="AH45" s="1257"/>
      <c r="AI45" s="1257"/>
      <c r="AJ45" s="1257"/>
      <c r="AK45" s="1257"/>
      <c r="AL45" s="1257"/>
      <c r="AM45" s="1255"/>
      <c r="AN45" s="1254"/>
      <c r="AO45" s="1254"/>
      <c r="AP45" s="1254"/>
      <c r="AQ45" s="1214">
        <f t="shared" si="1"/>
        <v>0</v>
      </c>
      <c r="AR45" s="1254"/>
      <c r="AS45" s="1254"/>
      <c r="AT45" s="1253">
        <v>12.69</v>
      </c>
      <c r="AU45" s="1254"/>
      <c r="AV45" s="1254"/>
      <c r="AW45" s="1254"/>
      <c r="AX45" s="1254"/>
      <c r="AY45" s="1254"/>
      <c r="AZ45" s="1040"/>
      <c r="BA45" s="1044" t="s">
        <v>899</v>
      </c>
    </row>
    <row r="46" spans="1:53" ht="46.5" outlineLevel="1" x14ac:dyDescent="0.25">
      <c r="A46" s="1168">
        <v>4</v>
      </c>
      <c r="B46" s="1169" t="s">
        <v>1597</v>
      </c>
      <c r="C46" s="1011"/>
      <c r="D46" s="1011"/>
      <c r="E46" s="1031"/>
      <c r="F46" s="1037"/>
      <c r="G46" s="1254">
        <v>1.57</v>
      </c>
      <c r="H46" s="1036"/>
      <c r="I46" s="1036"/>
      <c r="J46" s="1016"/>
      <c r="K46" s="1031"/>
      <c r="L46" s="1036"/>
      <c r="M46" s="1036"/>
      <c r="N46" s="1036"/>
      <c r="O46" s="1039" t="s">
        <v>1596</v>
      </c>
      <c r="P46" s="1207"/>
      <c r="Q46" s="1258"/>
      <c r="R46" s="1258"/>
      <c r="S46" s="1258"/>
      <c r="T46" s="1214">
        <f t="shared" si="0"/>
        <v>0</v>
      </c>
      <c r="U46" s="1258"/>
      <c r="V46" s="1258"/>
      <c r="W46" s="1254">
        <v>1.57</v>
      </c>
      <c r="X46" s="1259"/>
      <c r="Y46" s="1259"/>
      <c r="Z46" s="1259"/>
      <c r="AA46" s="1259"/>
      <c r="AB46" s="1259"/>
      <c r="AD46" s="1260"/>
      <c r="AE46" s="1260"/>
      <c r="AF46" s="1260"/>
      <c r="AG46" s="1260"/>
      <c r="AH46" s="1260"/>
      <c r="AI46" s="1260"/>
      <c r="AJ46" s="1260"/>
      <c r="AK46" s="1260"/>
      <c r="AL46" s="1260"/>
      <c r="AM46" s="1261"/>
      <c r="AN46" s="1262"/>
      <c r="AO46" s="1262"/>
      <c r="AP46" s="1262"/>
      <c r="AQ46" s="1214">
        <f t="shared" si="1"/>
        <v>0</v>
      </c>
      <c r="AR46" s="1259"/>
      <c r="AS46" s="1259"/>
      <c r="AT46" s="1254">
        <v>1.57</v>
      </c>
      <c r="AU46" s="1259"/>
      <c r="AV46" s="1259"/>
      <c r="AW46" s="1259"/>
      <c r="AX46" s="1259"/>
      <c r="AY46" s="1259"/>
      <c r="AZ46" s="1036"/>
      <c r="BA46" s="1011" t="s">
        <v>899</v>
      </c>
    </row>
    <row r="47" spans="1:53" outlineLevel="1" x14ac:dyDescent="0.35">
      <c r="A47" s="1011"/>
      <c r="B47" s="1150" t="s">
        <v>1595</v>
      </c>
      <c r="C47" s="1011"/>
      <c r="D47" s="1011"/>
      <c r="E47" s="1031"/>
      <c r="F47" s="1037"/>
      <c r="G47" s="1036"/>
      <c r="H47" s="1036"/>
      <c r="I47" s="1036"/>
      <c r="J47" s="1016"/>
      <c r="K47" s="1031"/>
      <c r="L47" s="1036"/>
      <c r="M47" s="1036"/>
      <c r="N47" s="1036"/>
      <c r="O47" s="1036"/>
      <c r="P47" s="1207"/>
      <c r="Q47" s="1258"/>
      <c r="R47" s="1263"/>
      <c r="S47" s="1258"/>
      <c r="T47" s="1214">
        <f t="shared" si="0"/>
        <v>0</v>
      </c>
      <c r="U47" s="1258"/>
      <c r="V47" s="1258"/>
      <c r="W47" s="1258"/>
      <c r="X47" s="1259"/>
      <c r="Y47" s="1259"/>
      <c r="Z47" s="1259"/>
      <c r="AA47" s="1259"/>
      <c r="AB47" s="1259"/>
      <c r="AC47" s="1260"/>
      <c r="AD47" s="1260"/>
      <c r="AE47" s="1260"/>
      <c r="AF47" s="1260"/>
      <c r="AG47" s="1260"/>
      <c r="AH47" s="1260"/>
      <c r="AI47" s="1260"/>
      <c r="AJ47" s="1260"/>
      <c r="AK47" s="1260"/>
      <c r="AL47" s="1260"/>
      <c r="AM47" s="1261"/>
      <c r="AN47" s="1264"/>
      <c r="AO47" s="1265"/>
      <c r="AP47" s="1265"/>
      <c r="AQ47" s="1214">
        <f t="shared" si="1"/>
        <v>0</v>
      </c>
      <c r="AR47" s="1259"/>
      <c r="AS47" s="1259"/>
      <c r="AT47" s="1259"/>
      <c r="AU47" s="1259"/>
      <c r="AV47" s="1259"/>
      <c r="AW47" s="1259"/>
      <c r="AX47" s="1259"/>
      <c r="AY47" s="1259"/>
      <c r="AZ47" s="1036"/>
      <c r="BA47" s="1011"/>
    </row>
    <row r="48" spans="1:53" outlineLevel="1" x14ac:dyDescent="0.35">
      <c r="A48" s="1011"/>
      <c r="B48" s="1150" t="s">
        <v>1594</v>
      </c>
      <c r="C48" s="1011"/>
      <c r="D48" s="1011"/>
      <c r="E48" s="1031"/>
      <c r="F48" s="1037"/>
      <c r="G48" s="1036"/>
      <c r="H48" s="1036"/>
      <c r="I48" s="1036"/>
      <c r="J48" s="1016"/>
      <c r="K48" s="1031"/>
      <c r="L48" s="1036"/>
      <c r="M48" s="1036"/>
      <c r="N48" s="1036"/>
      <c r="O48" s="1036"/>
      <c r="P48" s="1207"/>
      <c r="Q48" s="1258"/>
      <c r="R48" s="1263"/>
      <c r="S48" s="1258"/>
      <c r="T48" s="1214">
        <f t="shared" si="0"/>
        <v>0</v>
      </c>
      <c r="U48" s="1258"/>
      <c r="V48" s="1258"/>
      <c r="W48" s="1258"/>
      <c r="X48" s="1259"/>
      <c r="Y48" s="1259"/>
      <c r="Z48" s="1259"/>
      <c r="AA48" s="1259"/>
      <c r="AB48" s="1259"/>
      <c r="AC48" s="1260"/>
      <c r="AD48" s="1260"/>
      <c r="AE48" s="1260"/>
      <c r="AF48" s="1260"/>
      <c r="AG48" s="1260"/>
      <c r="AH48" s="1260"/>
      <c r="AI48" s="1260"/>
      <c r="AJ48" s="1260"/>
      <c r="AK48" s="1260"/>
      <c r="AL48" s="1260"/>
      <c r="AM48" s="1261"/>
      <c r="AN48" s="1264"/>
      <c r="AO48" s="1265"/>
      <c r="AP48" s="1265"/>
      <c r="AQ48" s="1214">
        <f t="shared" si="1"/>
        <v>0</v>
      </c>
      <c r="AR48" s="1259"/>
      <c r="AS48" s="1259"/>
      <c r="AT48" s="1259"/>
      <c r="AU48" s="1259"/>
      <c r="AV48" s="1259"/>
      <c r="AW48" s="1259"/>
      <c r="AX48" s="1259"/>
      <c r="AY48" s="1259"/>
      <c r="AZ48" s="1036"/>
      <c r="BA48" s="1011"/>
    </row>
    <row r="49" spans="1:53" ht="31" outlineLevel="1" x14ac:dyDescent="0.25">
      <c r="A49" s="1160">
        <v>1</v>
      </c>
      <c r="B49" s="1169" t="s">
        <v>1593</v>
      </c>
      <c r="C49" s="1011"/>
      <c r="D49" s="1011"/>
      <c r="E49" s="1031"/>
      <c r="F49" s="1037"/>
      <c r="G49" s="1036">
        <v>1.25</v>
      </c>
      <c r="H49" s="1036"/>
      <c r="I49" s="1036"/>
      <c r="J49" s="1016"/>
      <c r="K49" s="1031"/>
      <c r="L49" s="1036"/>
      <c r="M49" s="1036"/>
      <c r="N49" s="1036"/>
      <c r="O49" s="1039" t="s">
        <v>1592</v>
      </c>
      <c r="P49" s="1207"/>
      <c r="Q49" s="1258"/>
      <c r="R49" s="1258"/>
      <c r="S49" s="1258"/>
      <c r="T49" s="1214">
        <f t="shared" si="0"/>
        <v>0</v>
      </c>
      <c r="U49" s="1258"/>
      <c r="V49" s="1258"/>
      <c r="W49" s="1258"/>
      <c r="X49" s="1036">
        <v>1.25</v>
      </c>
      <c r="Y49" s="1259"/>
      <c r="Z49" s="1259"/>
      <c r="AA49" s="1259"/>
      <c r="AB49" s="1259"/>
      <c r="AC49" s="1260"/>
      <c r="AD49" s="1260"/>
      <c r="AE49" s="1260"/>
      <c r="AF49" s="1260"/>
      <c r="AG49" s="1260"/>
      <c r="AH49" s="1260"/>
      <c r="AI49" s="1260"/>
      <c r="AJ49" s="1260"/>
      <c r="AK49" s="1260"/>
      <c r="AL49" s="1260"/>
      <c r="AM49" s="1261"/>
      <c r="AN49" s="1259"/>
      <c r="AO49" s="1259"/>
      <c r="AP49" s="1259"/>
      <c r="AQ49" s="1214">
        <f t="shared" si="1"/>
        <v>0</v>
      </c>
      <c r="AR49" s="1259"/>
      <c r="AS49" s="1259"/>
      <c r="AT49" s="1259"/>
      <c r="AU49" s="1036">
        <v>1.25</v>
      </c>
      <c r="AV49" s="1259"/>
      <c r="AW49" s="1259"/>
      <c r="AX49" s="1259"/>
      <c r="AY49" s="1259"/>
      <c r="AZ49" s="1641" t="s">
        <v>1516</v>
      </c>
      <c r="BA49" s="1643" t="s">
        <v>909</v>
      </c>
    </row>
    <row r="50" spans="1:53" ht="31" outlineLevel="1" x14ac:dyDescent="0.25">
      <c r="A50" s="1160">
        <v>2</v>
      </c>
      <c r="B50" s="1169" t="s">
        <v>1591</v>
      </c>
      <c r="C50" s="1011"/>
      <c r="D50" s="1011"/>
      <c r="E50" s="1031"/>
      <c r="F50" s="1037"/>
      <c r="G50" s="1036">
        <v>23.9</v>
      </c>
      <c r="H50" s="1036"/>
      <c r="I50" s="1036"/>
      <c r="J50" s="1016"/>
      <c r="K50" s="1031"/>
      <c r="L50" s="1036"/>
      <c r="M50" s="1036"/>
      <c r="N50" s="1036"/>
      <c r="O50" s="1039" t="s">
        <v>1520</v>
      </c>
      <c r="P50" s="1207"/>
      <c r="Q50" s="1258"/>
      <c r="R50" s="1258"/>
      <c r="S50" s="1258"/>
      <c r="T50" s="1214">
        <f t="shared" si="0"/>
        <v>0</v>
      </c>
      <c r="U50" s="1258"/>
      <c r="V50" s="1258"/>
      <c r="W50" s="1258"/>
      <c r="X50" s="1036">
        <v>23.9</v>
      </c>
      <c r="Y50" s="1259"/>
      <c r="Z50" s="1259"/>
      <c r="AA50" s="1259"/>
      <c r="AB50" s="1259"/>
      <c r="AC50" s="1260"/>
      <c r="AD50" s="1260"/>
      <c r="AE50" s="1260"/>
      <c r="AF50" s="1260"/>
      <c r="AG50" s="1260"/>
      <c r="AH50" s="1260"/>
      <c r="AI50" s="1260"/>
      <c r="AJ50" s="1260"/>
      <c r="AK50" s="1260"/>
      <c r="AL50" s="1260"/>
      <c r="AM50" s="1261"/>
      <c r="AN50" s="1259"/>
      <c r="AO50" s="1259"/>
      <c r="AP50" s="1259"/>
      <c r="AQ50" s="1214">
        <f t="shared" si="1"/>
        <v>0</v>
      </c>
      <c r="AR50" s="1259"/>
      <c r="AS50" s="1259"/>
      <c r="AT50" s="1259"/>
      <c r="AU50" s="1036">
        <v>23.9</v>
      </c>
      <c r="AV50" s="1259"/>
      <c r="AW50" s="1259"/>
      <c r="AX50" s="1259"/>
      <c r="AY50" s="1259"/>
      <c r="AZ50" s="1642"/>
      <c r="BA50" s="1644"/>
    </row>
    <row r="51" spans="1:53" ht="31" outlineLevel="1" x14ac:dyDescent="0.25">
      <c r="A51" s="1160">
        <v>3</v>
      </c>
      <c r="B51" s="1169" t="s">
        <v>1590</v>
      </c>
      <c r="C51" s="1011"/>
      <c r="D51" s="1011"/>
      <c r="E51" s="1031"/>
      <c r="F51" s="1037"/>
      <c r="G51" s="1036">
        <v>7.2</v>
      </c>
      <c r="H51" s="1036"/>
      <c r="I51" s="1036"/>
      <c r="J51" s="1016"/>
      <c r="K51" s="1031"/>
      <c r="L51" s="1036"/>
      <c r="M51" s="1036"/>
      <c r="N51" s="1046"/>
      <c r="O51" s="1039" t="s">
        <v>1589</v>
      </c>
      <c r="P51" s="1207"/>
      <c r="Q51" s="1258"/>
      <c r="R51" s="1258"/>
      <c r="S51" s="1258"/>
      <c r="T51" s="1214">
        <f t="shared" si="0"/>
        <v>0</v>
      </c>
      <c r="U51" s="1258"/>
      <c r="V51" s="1258"/>
      <c r="W51" s="1258"/>
      <c r="X51" s="1036">
        <v>7.2</v>
      </c>
      <c r="Y51" s="1259"/>
      <c r="Z51" s="1259"/>
      <c r="AA51" s="1259"/>
      <c r="AB51" s="1259"/>
      <c r="AC51" s="1260"/>
      <c r="AD51" s="1260"/>
      <c r="AE51" s="1260"/>
      <c r="AF51" s="1260"/>
      <c r="AG51" s="1260"/>
      <c r="AH51" s="1260"/>
      <c r="AI51" s="1260"/>
      <c r="AJ51" s="1260"/>
      <c r="AK51" s="1260"/>
      <c r="AL51" s="1260"/>
      <c r="AM51" s="1261"/>
      <c r="AN51" s="1259"/>
      <c r="AO51" s="1259"/>
      <c r="AP51" s="1259"/>
      <c r="AQ51" s="1214">
        <f t="shared" si="1"/>
        <v>0</v>
      </c>
      <c r="AR51" s="1259"/>
      <c r="AS51" s="1259"/>
      <c r="AT51" s="1259"/>
      <c r="AU51" s="1036">
        <v>7.2</v>
      </c>
      <c r="AV51" s="1259"/>
      <c r="AW51" s="1259"/>
      <c r="AX51" s="1259"/>
      <c r="AY51" s="1259"/>
      <c r="AZ51" s="1642"/>
      <c r="BA51" s="1644"/>
    </row>
    <row r="52" spans="1:53" ht="31" outlineLevel="1" x14ac:dyDescent="0.25">
      <c r="A52" s="1160">
        <v>4</v>
      </c>
      <c r="B52" s="1169" t="s">
        <v>1588</v>
      </c>
      <c r="C52" s="1011"/>
      <c r="D52" s="1011"/>
      <c r="E52" s="1031"/>
      <c r="F52" s="1037"/>
      <c r="G52" s="1036">
        <v>1.25</v>
      </c>
      <c r="H52" s="1036"/>
      <c r="I52" s="1036"/>
      <c r="J52" s="1016"/>
      <c r="K52" s="1031"/>
      <c r="L52" s="1036"/>
      <c r="M52" s="1036"/>
      <c r="N52" s="1036"/>
      <c r="O52" s="1039" t="s">
        <v>1520</v>
      </c>
      <c r="P52" s="1207"/>
      <c r="Q52" s="1258"/>
      <c r="R52" s="1258"/>
      <c r="S52" s="1258"/>
      <c r="T52" s="1214">
        <f t="shared" si="0"/>
        <v>0</v>
      </c>
      <c r="U52" s="1258"/>
      <c r="V52" s="1258"/>
      <c r="W52" s="1258"/>
      <c r="X52" s="1036">
        <v>1.25</v>
      </c>
      <c r="Y52" s="1259"/>
      <c r="Z52" s="1259"/>
      <c r="AA52" s="1259"/>
      <c r="AB52" s="1259"/>
      <c r="AC52" s="1260"/>
      <c r="AD52" s="1260"/>
      <c r="AE52" s="1260"/>
      <c r="AF52" s="1260"/>
      <c r="AG52" s="1260"/>
      <c r="AH52" s="1260"/>
      <c r="AI52" s="1260"/>
      <c r="AJ52" s="1260"/>
      <c r="AK52" s="1260"/>
      <c r="AL52" s="1260"/>
      <c r="AM52" s="1261"/>
      <c r="AN52" s="1259"/>
      <c r="AO52" s="1259"/>
      <c r="AP52" s="1259"/>
      <c r="AQ52" s="1214">
        <f t="shared" si="1"/>
        <v>0</v>
      </c>
      <c r="AR52" s="1259"/>
      <c r="AS52" s="1259"/>
      <c r="AT52" s="1259"/>
      <c r="AU52" s="1036">
        <v>1.25</v>
      </c>
      <c r="AV52" s="1259"/>
      <c r="AW52" s="1259"/>
      <c r="AX52" s="1259"/>
      <c r="AY52" s="1259"/>
      <c r="AZ52" s="1642"/>
      <c r="BA52" s="1644"/>
    </row>
    <row r="53" spans="1:53" outlineLevel="1" x14ac:dyDescent="0.25">
      <c r="A53" s="1160"/>
      <c r="B53" s="1150" t="s">
        <v>1587</v>
      </c>
      <c r="C53" s="1011"/>
      <c r="D53" s="1011"/>
      <c r="E53" s="1031"/>
      <c r="F53" s="1037"/>
      <c r="G53" s="1036"/>
      <c r="H53" s="1036"/>
      <c r="I53" s="1036"/>
      <c r="J53" s="1016"/>
      <c r="K53" s="1031"/>
      <c r="L53" s="1036"/>
      <c r="M53" s="1036"/>
      <c r="N53" s="1036"/>
      <c r="O53" s="1036"/>
      <c r="P53" s="1207"/>
      <c r="Q53" s="1258"/>
      <c r="R53" s="1258"/>
      <c r="S53" s="1258"/>
      <c r="T53" s="1214">
        <f t="shared" si="0"/>
        <v>0</v>
      </c>
      <c r="U53" s="1258"/>
      <c r="V53" s="1258"/>
      <c r="W53" s="1258"/>
      <c r="X53" s="1259"/>
      <c r="Y53" s="1036"/>
      <c r="Z53" s="1259"/>
      <c r="AA53" s="1259"/>
      <c r="AB53" s="1259"/>
      <c r="AC53" s="1260"/>
      <c r="AD53" s="1260"/>
      <c r="AE53" s="1260"/>
      <c r="AF53" s="1260"/>
      <c r="AG53" s="1260"/>
      <c r="AH53" s="1260"/>
      <c r="AI53" s="1260"/>
      <c r="AJ53" s="1260"/>
      <c r="AK53" s="1260"/>
      <c r="AL53" s="1260"/>
      <c r="AM53" s="1261"/>
      <c r="AN53" s="1259"/>
      <c r="AO53" s="1259"/>
      <c r="AP53" s="1259"/>
      <c r="AQ53" s="1214">
        <f t="shared" si="1"/>
        <v>0</v>
      </c>
      <c r="AR53" s="1259"/>
      <c r="AS53" s="1259"/>
      <c r="AT53" s="1259"/>
      <c r="AU53" s="1259"/>
      <c r="AV53" s="1036"/>
      <c r="AW53" s="1259"/>
      <c r="AX53" s="1259"/>
      <c r="AY53" s="1259"/>
      <c r="AZ53" s="1036"/>
      <c r="BA53" s="1011"/>
    </row>
    <row r="54" spans="1:53" ht="186" outlineLevel="1" x14ac:dyDescent="0.25">
      <c r="A54" s="1011">
        <v>1</v>
      </c>
      <c r="B54" s="1170" t="s">
        <v>1586</v>
      </c>
      <c r="C54" s="1011"/>
      <c r="D54" s="1011"/>
      <c r="E54" s="1031"/>
      <c r="F54" s="1037"/>
      <c r="G54" s="1036">
        <v>4.5</v>
      </c>
      <c r="H54" s="1036"/>
      <c r="I54" s="1036"/>
      <c r="J54" s="1016"/>
      <c r="K54" s="1031"/>
      <c r="L54" s="1036"/>
      <c r="M54" s="1036"/>
      <c r="N54" s="1036"/>
      <c r="O54" s="1045" t="s">
        <v>1585</v>
      </c>
      <c r="P54" s="1207"/>
      <c r="Q54" s="1258"/>
      <c r="R54" s="1258"/>
      <c r="S54" s="1258"/>
      <c r="T54" s="1214">
        <f t="shared" si="0"/>
        <v>0</v>
      </c>
      <c r="U54" s="1258"/>
      <c r="V54" s="1258"/>
      <c r="W54" s="1258"/>
      <c r="X54" s="1036">
        <v>4.5</v>
      </c>
      <c r="Y54" s="1036">
        <v>0</v>
      </c>
      <c r="Z54" s="1259"/>
      <c r="AA54" s="1259"/>
      <c r="AB54" s="1259"/>
      <c r="AC54" s="1260"/>
      <c r="AD54" s="1260"/>
      <c r="AE54" s="1260"/>
      <c r="AF54" s="1260"/>
      <c r="AG54" s="1260"/>
      <c r="AH54" s="1260"/>
      <c r="AI54" s="1260"/>
      <c r="AJ54" s="1260"/>
      <c r="AK54" s="1260"/>
      <c r="AL54" s="1260"/>
      <c r="AM54" s="1261"/>
      <c r="AN54" s="1259"/>
      <c r="AO54" s="1259"/>
      <c r="AP54" s="1259"/>
      <c r="AQ54" s="1214">
        <f t="shared" si="1"/>
        <v>0</v>
      </c>
      <c r="AR54" s="1259"/>
      <c r="AS54" s="1259"/>
      <c r="AT54" s="1259"/>
      <c r="AU54" s="1036">
        <v>4.5</v>
      </c>
      <c r="AV54" s="1036">
        <v>0</v>
      </c>
      <c r="AW54" s="1259"/>
      <c r="AX54" s="1259"/>
      <c r="AY54" s="1259"/>
      <c r="AZ54" s="1641" t="s">
        <v>1516</v>
      </c>
      <c r="BA54" s="1643" t="s">
        <v>909</v>
      </c>
    </row>
    <row r="55" spans="1:53" ht="77.5" outlineLevel="1" x14ac:dyDescent="0.25">
      <c r="A55" s="1011">
        <v>2</v>
      </c>
      <c r="B55" s="1169" t="s">
        <v>1584</v>
      </c>
      <c r="C55" s="1011"/>
      <c r="D55" s="1011"/>
      <c r="E55" s="1031"/>
      <c r="F55" s="1037"/>
      <c r="G55" s="1036">
        <v>2</v>
      </c>
      <c r="H55" s="1036"/>
      <c r="I55" s="1036"/>
      <c r="J55" s="1016"/>
      <c r="K55" s="1031"/>
      <c r="L55" s="1036"/>
      <c r="M55" s="1036"/>
      <c r="N55" s="1036"/>
      <c r="O55" s="1045" t="s">
        <v>1583</v>
      </c>
      <c r="P55" s="1207"/>
      <c r="Q55" s="1258"/>
      <c r="R55" s="1258"/>
      <c r="S55" s="1258"/>
      <c r="T55" s="1214">
        <f t="shared" si="0"/>
        <v>0</v>
      </c>
      <c r="U55" s="1258"/>
      <c r="V55" s="1258"/>
      <c r="W55" s="1258"/>
      <c r="X55" s="1036">
        <v>2</v>
      </c>
      <c r="Y55" s="1036">
        <v>0</v>
      </c>
      <c r="Z55" s="1259"/>
      <c r="AA55" s="1259"/>
      <c r="AB55" s="1259"/>
      <c r="AC55" s="1260"/>
      <c r="AD55" s="1260"/>
      <c r="AE55" s="1260"/>
      <c r="AF55" s="1260"/>
      <c r="AG55" s="1260"/>
      <c r="AH55" s="1260"/>
      <c r="AI55" s="1260"/>
      <c r="AJ55" s="1260"/>
      <c r="AK55" s="1260"/>
      <c r="AL55" s="1260"/>
      <c r="AM55" s="1261"/>
      <c r="AN55" s="1259"/>
      <c r="AO55" s="1259"/>
      <c r="AP55" s="1259"/>
      <c r="AQ55" s="1214">
        <f t="shared" si="1"/>
        <v>0</v>
      </c>
      <c r="AR55" s="1259"/>
      <c r="AS55" s="1259"/>
      <c r="AT55" s="1259"/>
      <c r="AU55" s="1036">
        <v>2</v>
      </c>
      <c r="AV55" s="1036">
        <v>0</v>
      </c>
      <c r="AW55" s="1259"/>
      <c r="AX55" s="1259"/>
      <c r="AY55" s="1259"/>
      <c r="AZ55" s="1642"/>
      <c r="BA55" s="1644"/>
    </row>
    <row r="56" spans="1:53" ht="93" outlineLevel="1" x14ac:dyDescent="0.25">
      <c r="A56" s="1011">
        <v>3</v>
      </c>
      <c r="B56" s="1169" t="s">
        <v>1582</v>
      </c>
      <c r="C56" s="1011"/>
      <c r="D56" s="1011"/>
      <c r="E56" s="1031"/>
      <c r="F56" s="1037"/>
      <c r="G56" s="1036">
        <v>1.7</v>
      </c>
      <c r="H56" s="1036"/>
      <c r="I56" s="1036"/>
      <c r="J56" s="1016"/>
      <c r="K56" s="1031"/>
      <c r="L56" s="1036"/>
      <c r="M56" s="1036"/>
      <c r="N56" s="1036"/>
      <c r="O56" s="1045" t="s">
        <v>1581</v>
      </c>
      <c r="P56" s="1207"/>
      <c r="Q56" s="1258"/>
      <c r="R56" s="1258"/>
      <c r="S56" s="1258"/>
      <c r="T56" s="1214">
        <f t="shared" si="0"/>
        <v>0</v>
      </c>
      <c r="U56" s="1258"/>
      <c r="V56" s="1258"/>
      <c r="W56" s="1258"/>
      <c r="X56" s="1036">
        <v>1.7</v>
      </c>
      <c r="Y56" s="1036">
        <v>0</v>
      </c>
      <c r="Z56" s="1259"/>
      <c r="AA56" s="1259"/>
      <c r="AB56" s="1259"/>
      <c r="AC56" s="1260"/>
      <c r="AD56" s="1260"/>
      <c r="AE56" s="1260"/>
      <c r="AF56" s="1260"/>
      <c r="AG56" s="1260"/>
      <c r="AH56" s="1260"/>
      <c r="AI56" s="1260"/>
      <c r="AJ56" s="1260"/>
      <c r="AK56" s="1260"/>
      <c r="AL56" s="1260"/>
      <c r="AM56" s="1261"/>
      <c r="AN56" s="1259"/>
      <c r="AO56" s="1259"/>
      <c r="AP56" s="1259"/>
      <c r="AQ56" s="1214">
        <f t="shared" si="1"/>
        <v>0</v>
      </c>
      <c r="AR56" s="1259"/>
      <c r="AS56" s="1259"/>
      <c r="AT56" s="1259"/>
      <c r="AU56" s="1036">
        <v>1.7</v>
      </c>
      <c r="AV56" s="1036">
        <v>0</v>
      </c>
      <c r="AW56" s="1259"/>
      <c r="AX56" s="1259"/>
      <c r="AY56" s="1259"/>
      <c r="AZ56" s="1642"/>
      <c r="BA56" s="1644"/>
    </row>
    <row r="57" spans="1:53" ht="77.5" outlineLevel="1" x14ac:dyDescent="0.25">
      <c r="A57" s="1011">
        <v>4</v>
      </c>
      <c r="B57" s="1169" t="s">
        <v>1580</v>
      </c>
      <c r="C57" s="1011"/>
      <c r="D57" s="1011"/>
      <c r="E57" s="1031"/>
      <c r="F57" s="1037"/>
      <c r="G57" s="1036">
        <v>0.35</v>
      </c>
      <c r="H57" s="1036"/>
      <c r="I57" s="1036"/>
      <c r="J57" s="1016"/>
      <c r="K57" s="1031"/>
      <c r="L57" s="1036"/>
      <c r="M57" s="1036"/>
      <c r="N57" s="1036"/>
      <c r="O57" s="1045" t="s">
        <v>1579</v>
      </c>
      <c r="P57" s="1207"/>
      <c r="Q57" s="1258"/>
      <c r="R57" s="1258"/>
      <c r="S57" s="1258"/>
      <c r="T57" s="1214">
        <f t="shared" si="0"/>
        <v>0</v>
      </c>
      <c r="U57" s="1258"/>
      <c r="V57" s="1258"/>
      <c r="W57" s="1258"/>
      <c r="X57" s="1036">
        <v>0.35</v>
      </c>
      <c r="Y57" s="1036">
        <v>0</v>
      </c>
      <c r="Z57" s="1259"/>
      <c r="AA57" s="1259"/>
      <c r="AB57" s="1259"/>
      <c r="AC57" s="1260"/>
      <c r="AD57" s="1260"/>
      <c r="AE57" s="1260"/>
      <c r="AF57" s="1260"/>
      <c r="AG57" s="1260"/>
      <c r="AH57" s="1260"/>
      <c r="AI57" s="1260"/>
      <c r="AJ57" s="1260"/>
      <c r="AK57" s="1260"/>
      <c r="AL57" s="1260"/>
      <c r="AM57" s="1261"/>
      <c r="AN57" s="1259"/>
      <c r="AO57" s="1259"/>
      <c r="AP57" s="1259"/>
      <c r="AQ57" s="1214">
        <f t="shared" si="1"/>
        <v>0</v>
      </c>
      <c r="AR57" s="1259"/>
      <c r="AS57" s="1259"/>
      <c r="AT57" s="1259"/>
      <c r="AU57" s="1036">
        <v>0.35</v>
      </c>
      <c r="AV57" s="1036">
        <v>0</v>
      </c>
      <c r="AW57" s="1259"/>
      <c r="AX57" s="1259"/>
      <c r="AY57" s="1259"/>
      <c r="AZ57" s="1642"/>
      <c r="BA57" s="1644"/>
    </row>
    <row r="58" spans="1:53" ht="108.5" outlineLevel="1" x14ac:dyDescent="0.25">
      <c r="A58" s="1011">
        <v>5</v>
      </c>
      <c r="B58" s="1169" t="s">
        <v>1578</v>
      </c>
      <c r="C58" s="1011"/>
      <c r="D58" s="1011"/>
      <c r="E58" s="1031"/>
      <c r="F58" s="1037"/>
      <c r="G58" s="1036">
        <v>2.5499999999999998</v>
      </c>
      <c r="H58" s="1036"/>
      <c r="I58" s="1036"/>
      <c r="J58" s="1016"/>
      <c r="K58" s="1031"/>
      <c r="L58" s="1036"/>
      <c r="M58" s="1036"/>
      <c r="N58" s="1036"/>
      <c r="O58" s="1045" t="s">
        <v>1461</v>
      </c>
      <c r="P58" s="1207"/>
      <c r="Q58" s="1258"/>
      <c r="R58" s="1258"/>
      <c r="S58" s="1258"/>
      <c r="T58" s="1214">
        <f t="shared" si="0"/>
        <v>0</v>
      </c>
      <c r="U58" s="1258"/>
      <c r="V58" s="1258"/>
      <c r="W58" s="1258"/>
      <c r="X58" s="1036">
        <v>2.5499999999999998</v>
      </c>
      <c r="Y58" s="1036">
        <v>0</v>
      </c>
      <c r="Z58" s="1259"/>
      <c r="AA58" s="1259"/>
      <c r="AB58" s="1259"/>
      <c r="AC58" s="1260"/>
      <c r="AD58" s="1260"/>
      <c r="AE58" s="1260"/>
      <c r="AF58" s="1260"/>
      <c r="AG58" s="1260"/>
      <c r="AH58" s="1260"/>
      <c r="AI58" s="1260"/>
      <c r="AJ58" s="1260"/>
      <c r="AK58" s="1260"/>
      <c r="AL58" s="1260"/>
      <c r="AM58" s="1261"/>
      <c r="AN58" s="1259"/>
      <c r="AO58" s="1259"/>
      <c r="AP58" s="1259"/>
      <c r="AQ58" s="1214">
        <f t="shared" si="1"/>
        <v>0</v>
      </c>
      <c r="AR58" s="1259"/>
      <c r="AS58" s="1259"/>
      <c r="AT58" s="1259"/>
      <c r="AU58" s="1036">
        <v>2.5499999999999998</v>
      </c>
      <c r="AV58" s="1036">
        <v>0</v>
      </c>
      <c r="AW58" s="1259"/>
      <c r="AX58" s="1259"/>
      <c r="AY58" s="1259"/>
      <c r="AZ58" s="1642"/>
      <c r="BA58" s="1644"/>
    </row>
    <row r="59" spans="1:53" ht="108.5" outlineLevel="1" x14ac:dyDescent="0.25">
      <c r="A59" s="1011">
        <v>6</v>
      </c>
      <c r="B59" s="1169" t="s">
        <v>1577</v>
      </c>
      <c r="C59" s="1011"/>
      <c r="D59" s="1011"/>
      <c r="E59" s="1031"/>
      <c r="F59" s="1037"/>
      <c r="G59" s="1036">
        <v>1</v>
      </c>
      <c r="H59" s="1036"/>
      <c r="I59" s="1036"/>
      <c r="J59" s="1016"/>
      <c r="K59" s="1031"/>
      <c r="L59" s="1036"/>
      <c r="M59" s="1036"/>
      <c r="N59" s="1036"/>
      <c r="O59" s="1045" t="s">
        <v>1576</v>
      </c>
      <c r="P59" s="1207"/>
      <c r="Q59" s="1258"/>
      <c r="R59" s="1258"/>
      <c r="S59" s="1258"/>
      <c r="T59" s="1214">
        <f t="shared" si="0"/>
        <v>0</v>
      </c>
      <c r="U59" s="1258"/>
      <c r="V59" s="1258"/>
      <c r="W59" s="1258"/>
      <c r="X59" s="1036">
        <v>1</v>
      </c>
      <c r="Y59" s="1036">
        <v>0</v>
      </c>
      <c r="Z59" s="1259"/>
      <c r="AA59" s="1259"/>
      <c r="AB59" s="1259"/>
      <c r="AC59" s="1260"/>
      <c r="AD59" s="1260"/>
      <c r="AE59" s="1260"/>
      <c r="AF59" s="1260"/>
      <c r="AG59" s="1260"/>
      <c r="AH59" s="1260"/>
      <c r="AI59" s="1260"/>
      <c r="AJ59" s="1260"/>
      <c r="AK59" s="1260"/>
      <c r="AL59" s="1260"/>
      <c r="AM59" s="1261"/>
      <c r="AN59" s="1259"/>
      <c r="AO59" s="1259"/>
      <c r="AP59" s="1259"/>
      <c r="AQ59" s="1214">
        <f t="shared" si="1"/>
        <v>0</v>
      </c>
      <c r="AR59" s="1259"/>
      <c r="AS59" s="1259"/>
      <c r="AT59" s="1259"/>
      <c r="AU59" s="1036">
        <v>1</v>
      </c>
      <c r="AV59" s="1036">
        <v>0</v>
      </c>
      <c r="AW59" s="1259"/>
      <c r="AX59" s="1259"/>
      <c r="AY59" s="1259"/>
      <c r="AZ59" s="1642"/>
      <c r="BA59" s="1644"/>
    </row>
    <row r="60" spans="1:53" ht="77.5" outlineLevel="1" x14ac:dyDescent="0.25">
      <c r="A60" s="1011">
        <v>7</v>
      </c>
      <c r="B60" s="1169" t="s">
        <v>1575</v>
      </c>
      <c r="C60" s="1011"/>
      <c r="D60" s="1011"/>
      <c r="E60" s="1031"/>
      <c r="F60" s="1037"/>
      <c r="G60" s="1036">
        <v>6</v>
      </c>
      <c r="H60" s="1036"/>
      <c r="I60" s="1036"/>
      <c r="J60" s="1016"/>
      <c r="K60" s="1031"/>
      <c r="L60" s="1036"/>
      <c r="M60" s="1036"/>
      <c r="N60" s="1036"/>
      <c r="O60" s="1045" t="s">
        <v>1574</v>
      </c>
      <c r="P60" s="1207"/>
      <c r="Q60" s="1258"/>
      <c r="R60" s="1258"/>
      <c r="S60" s="1258"/>
      <c r="T60" s="1214">
        <f t="shared" si="0"/>
        <v>0</v>
      </c>
      <c r="U60" s="1258"/>
      <c r="V60" s="1258"/>
      <c r="W60" s="1258"/>
      <c r="X60" s="1036">
        <v>6</v>
      </c>
      <c r="Y60" s="1036">
        <v>0</v>
      </c>
      <c r="Z60" s="1259">
        <v>0</v>
      </c>
      <c r="AA60" s="1259"/>
      <c r="AB60" s="1259"/>
      <c r="AC60" s="1260"/>
      <c r="AD60" s="1260"/>
      <c r="AE60" s="1260"/>
      <c r="AF60" s="1260"/>
      <c r="AG60" s="1260"/>
      <c r="AH60" s="1260"/>
      <c r="AI60" s="1260"/>
      <c r="AJ60" s="1260"/>
      <c r="AK60" s="1260"/>
      <c r="AL60" s="1260"/>
      <c r="AM60" s="1261"/>
      <c r="AN60" s="1259"/>
      <c r="AO60" s="1259"/>
      <c r="AP60" s="1259"/>
      <c r="AQ60" s="1214">
        <f t="shared" si="1"/>
        <v>0</v>
      </c>
      <c r="AR60" s="1259"/>
      <c r="AS60" s="1259"/>
      <c r="AT60" s="1259"/>
      <c r="AU60" s="1036">
        <v>6</v>
      </c>
      <c r="AV60" s="1036">
        <v>0</v>
      </c>
      <c r="AW60" s="1259">
        <v>0</v>
      </c>
      <c r="AX60" s="1259"/>
      <c r="AY60" s="1259"/>
      <c r="AZ60" s="1642"/>
      <c r="BA60" s="1644"/>
    </row>
    <row r="61" spans="1:53" ht="77.5" outlineLevel="1" x14ac:dyDescent="0.25">
      <c r="A61" s="1011">
        <v>8</v>
      </c>
      <c r="B61" s="1169" t="s">
        <v>1573</v>
      </c>
      <c r="C61" s="1011"/>
      <c r="D61" s="1011"/>
      <c r="E61" s="1031"/>
      <c r="F61" s="1037"/>
      <c r="G61" s="1036">
        <v>7</v>
      </c>
      <c r="H61" s="1036"/>
      <c r="I61" s="1036"/>
      <c r="J61" s="1016"/>
      <c r="K61" s="1031"/>
      <c r="L61" s="1036"/>
      <c r="M61" s="1036"/>
      <c r="N61" s="1036"/>
      <c r="O61" s="1045" t="s">
        <v>1572</v>
      </c>
      <c r="P61" s="1207"/>
      <c r="Q61" s="1258"/>
      <c r="R61" s="1258"/>
      <c r="S61" s="1258"/>
      <c r="T61" s="1214">
        <f t="shared" si="0"/>
        <v>0</v>
      </c>
      <c r="U61" s="1258"/>
      <c r="V61" s="1258"/>
      <c r="W61" s="1258"/>
      <c r="X61" s="1036">
        <v>7</v>
      </c>
      <c r="Y61" s="1036">
        <v>0</v>
      </c>
      <c r="Z61" s="1259">
        <v>0</v>
      </c>
      <c r="AA61" s="1259"/>
      <c r="AB61" s="1259"/>
      <c r="AC61" s="1260"/>
      <c r="AD61" s="1260"/>
      <c r="AE61" s="1260"/>
      <c r="AF61" s="1260"/>
      <c r="AG61" s="1260"/>
      <c r="AH61" s="1260"/>
      <c r="AI61" s="1260"/>
      <c r="AJ61" s="1260"/>
      <c r="AK61" s="1260"/>
      <c r="AL61" s="1260"/>
      <c r="AM61" s="1261"/>
      <c r="AN61" s="1259"/>
      <c r="AO61" s="1259"/>
      <c r="AP61" s="1259"/>
      <c r="AQ61" s="1214">
        <f t="shared" si="1"/>
        <v>0</v>
      </c>
      <c r="AR61" s="1259"/>
      <c r="AS61" s="1259"/>
      <c r="AT61" s="1259"/>
      <c r="AU61" s="1036">
        <v>7</v>
      </c>
      <c r="AV61" s="1036">
        <v>0</v>
      </c>
      <c r="AW61" s="1259">
        <v>0</v>
      </c>
      <c r="AX61" s="1259"/>
      <c r="AY61" s="1259"/>
      <c r="AZ61" s="1645"/>
      <c r="BA61" s="1646"/>
    </row>
    <row r="62" spans="1:53" outlineLevel="1" x14ac:dyDescent="0.25">
      <c r="B62" s="1150" t="s">
        <v>1571</v>
      </c>
      <c r="J62" s="1021"/>
      <c r="T62" s="1214">
        <f t="shared" si="0"/>
        <v>0</v>
      </c>
      <c r="X62" s="1188"/>
      <c r="Y62" s="1013"/>
      <c r="Z62" s="1188"/>
      <c r="AA62" s="1188"/>
      <c r="AB62" s="1188"/>
      <c r="AI62" s="1186"/>
      <c r="AJ62" s="1186"/>
      <c r="AK62" s="1186"/>
      <c r="AL62" s="1186"/>
      <c r="AQ62" s="1214">
        <f t="shared" si="1"/>
        <v>0</v>
      </c>
      <c r="AU62" s="1188"/>
      <c r="AV62" s="1013"/>
      <c r="AW62" s="1188"/>
      <c r="AX62" s="1188"/>
    </row>
    <row r="63" spans="1:53" ht="232.5" outlineLevel="1" x14ac:dyDescent="0.25">
      <c r="A63" s="1011">
        <v>1</v>
      </c>
      <c r="B63" s="1169" t="s">
        <v>1570</v>
      </c>
      <c r="C63" s="1011"/>
      <c r="D63" s="1011"/>
      <c r="E63" s="1031"/>
      <c r="F63" s="1037"/>
      <c r="G63" s="1036">
        <v>36.53</v>
      </c>
      <c r="H63" s="1036"/>
      <c r="I63" s="1036"/>
      <c r="J63" s="1016"/>
      <c r="K63" s="1031"/>
      <c r="L63" s="1036"/>
      <c r="M63" s="1036"/>
      <c r="N63" s="1036"/>
      <c r="O63" s="1039" t="s">
        <v>1569</v>
      </c>
      <c r="P63" s="1207"/>
      <c r="Q63" s="1258"/>
      <c r="R63" s="1258"/>
      <c r="S63" s="1258"/>
      <c r="T63" s="1214">
        <f t="shared" si="0"/>
        <v>0</v>
      </c>
      <c r="U63" s="1258"/>
      <c r="V63" s="1258"/>
      <c r="W63" s="1258"/>
      <c r="X63" s="1036">
        <v>36.53</v>
      </c>
      <c r="Y63" s="1036"/>
      <c r="Z63" s="1259"/>
      <c r="AA63" s="1259"/>
      <c r="AB63" s="1259"/>
      <c r="AC63" s="1260"/>
      <c r="AD63" s="1260"/>
      <c r="AE63" s="1260"/>
      <c r="AF63" s="1260"/>
      <c r="AG63" s="1260"/>
      <c r="AH63" s="1260"/>
      <c r="AI63" s="1260"/>
      <c r="AJ63" s="1260"/>
      <c r="AK63" s="1260"/>
      <c r="AL63" s="1260"/>
      <c r="AM63" s="1261"/>
      <c r="AN63" s="1259"/>
      <c r="AO63" s="1259"/>
      <c r="AP63" s="1259"/>
      <c r="AQ63" s="1214">
        <f t="shared" si="1"/>
        <v>0</v>
      </c>
      <c r="AR63" s="1259"/>
      <c r="AS63" s="1259"/>
      <c r="AT63" s="1259"/>
      <c r="AU63" s="1036">
        <v>36.53</v>
      </c>
      <c r="AV63" s="1036"/>
      <c r="AW63" s="1259"/>
      <c r="AX63" s="1259"/>
      <c r="AY63" s="1259"/>
      <c r="AZ63" s="1641" t="s">
        <v>1568</v>
      </c>
      <c r="BA63" s="1643" t="s">
        <v>909</v>
      </c>
    </row>
    <row r="64" spans="1:53" ht="124" outlineLevel="1" x14ac:dyDescent="0.25">
      <c r="A64" s="1011">
        <v>2</v>
      </c>
      <c r="B64" s="1169" t="s">
        <v>1567</v>
      </c>
      <c r="C64" s="1011"/>
      <c r="D64" s="1011"/>
      <c r="E64" s="1031"/>
      <c r="F64" s="1037"/>
      <c r="G64" s="1036">
        <v>2.77</v>
      </c>
      <c r="H64" s="1036"/>
      <c r="I64" s="1036"/>
      <c r="J64" s="1016"/>
      <c r="K64" s="1031"/>
      <c r="L64" s="1036"/>
      <c r="M64" s="1036"/>
      <c r="N64" s="1036"/>
      <c r="O64" s="1039" t="s">
        <v>1566</v>
      </c>
      <c r="P64" s="1207"/>
      <c r="Q64" s="1258"/>
      <c r="R64" s="1258"/>
      <c r="S64" s="1258"/>
      <c r="T64" s="1214">
        <f t="shared" si="0"/>
        <v>0</v>
      </c>
      <c r="U64" s="1258"/>
      <c r="V64" s="1258"/>
      <c r="W64" s="1258"/>
      <c r="X64" s="1036">
        <v>2.77</v>
      </c>
      <c r="Y64" s="1036"/>
      <c r="Z64" s="1259"/>
      <c r="AA64" s="1259"/>
      <c r="AB64" s="1259"/>
      <c r="AC64" s="1260"/>
      <c r="AD64" s="1260"/>
      <c r="AE64" s="1260"/>
      <c r="AF64" s="1260"/>
      <c r="AG64" s="1260"/>
      <c r="AH64" s="1260"/>
      <c r="AI64" s="1260"/>
      <c r="AJ64" s="1260"/>
      <c r="AK64" s="1260"/>
      <c r="AL64" s="1260"/>
      <c r="AM64" s="1261"/>
      <c r="AN64" s="1259"/>
      <c r="AO64" s="1259"/>
      <c r="AP64" s="1259"/>
      <c r="AQ64" s="1214">
        <f t="shared" si="1"/>
        <v>0</v>
      </c>
      <c r="AR64" s="1259"/>
      <c r="AS64" s="1259"/>
      <c r="AT64" s="1259"/>
      <c r="AU64" s="1036">
        <v>2.77</v>
      </c>
      <c r="AV64" s="1036"/>
      <c r="AW64" s="1259"/>
      <c r="AX64" s="1259"/>
      <c r="AY64" s="1259"/>
      <c r="AZ64" s="1642"/>
      <c r="BA64" s="1644"/>
    </row>
    <row r="65" spans="1:53" ht="124" outlineLevel="1" x14ac:dyDescent="0.25">
      <c r="A65" s="1011">
        <v>3</v>
      </c>
      <c r="B65" s="1169" t="s">
        <v>1565</v>
      </c>
      <c r="C65" s="1011"/>
      <c r="D65" s="1011"/>
      <c r="E65" s="1031"/>
      <c r="F65" s="1037"/>
      <c r="G65" s="1036">
        <v>0.26</v>
      </c>
      <c r="H65" s="1036"/>
      <c r="I65" s="1036"/>
      <c r="J65" s="1016"/>
      <c r="K65" s="1031"/>
      <c r="L65" s="1036"/>
      <c r="M65" s="1036"/>
      <c r="N65" s="1036"/>
      <c r="O65" s="1039" t="s">
        <v>1564</v>
      </c>
      <c r="P65" s="1207"/>
      <c r="Q65" s="1258"/>
      <c r="R65" s="1258"/>
      <c r="S65" s="1258"/>
      <c r="T65" s="1214">
        <f t="shared" si="0"/>
        <v>0</v>
      </c>
      <c r="U65" s="1258"/>
      <c r="V65" s="1258"/>
      <c r="W65" s="1258"/>
      <c r="X65" s="1036">
        <v>0.26</v>
      </c>
      <c r="Y65" s="1036"/>
      <c r="Z65" s="1259"/>
      <c r="AA65" s="1259"/>
      <c r="AB65" s="1259"/>
      <c r="AC65" s="1260"/>
      <c r="AD65" s="1260"/>
      <c r="AE65" s="1260"/>
      <c r="AF65" s="1260"/>
      <c r="AG65" s="1260"/>
      <c r="AH65" s="1260"/>
      <c r="AI65" s="1260"/>
      <c r="AJ65" s="1260"/>
      <c r="AK65" s="1260"/>
      <c r="AL65" s="1260"/>
      <c r="AM65" s="1261"/>
      <c r="AN65" s="1259"/>
      <c r="AO65" s="1259"/>
      <c r="AP65" s="1259"/>
      <c r="AQ65" s="1214">
        <f t="shared" si="1"/>
        <v>0</v>
      </c>
      <c r="AR65" s="1259"/>
      <c r="AS65" s="1259"/>
      <c r="AT65" s="1259"/>
      <c r="AU65" s="1036">
        <v>0.26</v>
      </c>
      <c r="AV65" s="1036"/>
      <c r="AW65" s="1259"/>
      <c r="AX65" s="1259"/>
      <c r="AY65" s="1259"/>
      <c r="AZ65" s="1645"/>
      <c r="BA65" s="1646"/>
    </row>
    <row r="66" spans="1:53" s="1253" customFormat="1" outlineLevel="1" x14ac:dyDescent="0.25">
      <c r="A66" s="1171"/>
      <c r="B66" s="1150" t="s">
        <v>1563</v>
      </c>
      <c r="C66" s="1171"/>
      <c r="D66" s="1171"/>
      <c r="E66" s="1266"/>
      <c r="F66" s="1267"/>
      <c r="G66" s="1268"/>
      <c r="H66" s="1268"/>
      <c r="I66" s="1268"/>
      <c r="J66" s="1269"/>
      <c r="K66" s="1266"/>
      <c r="L66" s="1268"/>
      <c r="M66" s="1268"/>
      <c r="N66" s="1268"/>
      <c r="O66" s="1268"/>
      <c r="P66" s="1270"/>
      <c r="Q66" s="1200"/>
      <c r="R66" s="1200"/>
      <c r="S66" s="1200"/>
      <c r="T66" s="1214">
        <f t="shared" si="0"/>
        <v>0</v>
      </c>
      <c r="U66" s="1200"/>
      <c r="V66" s="1200"/>
      <c r="W66" s="1200"/>
      <c r="X66" s="1268"/>
      <c r="Y66" s="1268"/>
      <c r="Z66" s="1271"/>
      <c r="AA66" s="1271"/>
      <c r="AB66" s="1271"/>
      <c r="AC66" s="1272"/>
      <c r="AD66" s="1272"/>
      <c r="AE66" s="1272"/>
      <c r="AF66" s="1272"/>
      <c r="AG66" s="1272"/>
      <c r="AH66" s="1272"/>
      <c r="AI66" s="1272"/>
      <c r="AJ66" s="1272"/>
      <c r="AK66" s="1272"/>
      <c r="AL66" s="1272"/>
      <c r="AM66" s="1270"/>
      <c r="AN66" s="1271"/>
      <c r="AO66" s="1271"/>
      <c r="AP66" s="1271"/>
      <c r="AQ66" s="1214">
        <f t="shared" si="1"/>
        <v>0</v>
      </c>
      <c r="AR66" s="1268"/>
      <c r="AS66" s="1268"/>
      <c r="AT66" s="1268"/>
      <c r="AU66" s="1268"/>
      <c r="AV66" s="1268"/>
      <c r="AW66" s="1271"/>
      <c r="AX66" s="1271"/>
      <c r="AY66" s="1271"/>
      <c r="AZ66" s="1268"/>
      <c r="BA66" s="1171"/>
    </row>
    <row r="67" spans="1:53" outlineLevel="1" x14ac:dyDescent="0.25">
      <c r="B67" s="1150" t="s">
        <v>1562</v>
      </c>
      <c r="J67" s="1021"/>
      <c r="T67" s="1214">
        <f t="shared" si="0"/>
        <v>0</v>
      </c>
      <c r="X67" s="1188"/>
      <c r="Y67" s="1013"/>
      <c r="Z67" s="1188"/>
      <c r="AA67" s="1188"/>
      <c r="AB67" s="1188"/>
      <c r="AI67" s="1186"/>
      <c r="AJ67" s="1186"/>
      <c r="AK67" s="1186"/>
      <c r="AL67" s="1186"/>
      <c r="AQ67" s="1214">
        <f t="shared" si="1"/>
        <v>0</v>
      </c>
      <c r="AU67" s="1188"/>
      <c r="AV67" s="1013"/>
      <c r="AW67" s="1188"/>
      <c r="AX67" s="1188"/>
    </row>
    <row r="68" spans="1:53" ht="139.5" outlineLevel="1" x14ac:dyDescent="0.25">
      <c r="A68" s="1011">
        <v>1</v>
      </c>
      <c r="B68" s="1169" t="s">
        <v>1561</v>
      </c>
      <c r="C68" s="1011"/>
      <c r="D68" s="1011"/>
      <c r="E68" s="1031"/>
      <c r="F68" s="1037"/>
      <c r="G68" s="1036">
        <v>14</v>
      </c>
      <c r="H68" s="1036"/>
      <c r="I68" s="1036"/>
      <c r="J68" s="1016"/>
      <c r="K68" s="1031"/>
      <c r="L68" s="1036"/>
      <c r="M68" s="1036"/>
      <c r="N68" s="1036"/>
      <c r="O68" s="1039" t="s">
        <v>1560</v>
      </c>
      <c r="P68" s="1207"/>
      <c r="Q68" s="1258"/>
      <c r="R68" s="1258"/>
      <c r="S68" s="1258"/>
      <c r="T68" s="1214">
        <f t="shared" si="0"/>
        <v>0</v>
      </c>
      <c r="U68" s="1258"/>
      <c r="V68" s="1258"/>
      <c r="W68" s="1258"/>
      <c r="X68" s="1259"/>
      <c r="Y68" s="1036">
        <v>14</v>
      </c>
      <c r="Z68" s="1259"/>
      <c r="AA68" s="1259"/>
      <c r="AB68" s="1259"/>
      <c r="AC68" s="1260"/>
      <c r="AD68" s="1260"/>
      <c r="AE68" s="1260"/>
      <c r="AF68" s="1260"/>
      <c r="AG68" s="1260"/>
      <c r="AH68" s="1260"/>
      <c r="AI68" s="1260"/>
      <c r="AJ68" s="1260"/>
      <c r="AK68" s="1260"/>
      <c r="AL68" s="1260"/>
      <c r="AM68" s="1261"/>
      <c r="AN68" s="1259"/>
      <c r="AO68" s="1259"/>
      <c r="AP68" s="1259"/>
      <c r="AQ68" s="1214">
        <f t="shared" si="1"/>
        <v>0</v>
      </c>
      <c r="AR68" s="1259"/>
      <c r="AS68" s="1259"/>
      <c r="AT68" s="1259"/>
      <c r="AU68" s="1259"/>
      <c r="AV68" s="1036">
        <v>14</v>
      </c>
      <c r="AW68" s="1259"/>
      <c r="AX68" s="1259"/>
      <c r="AY68" s="1259"/>
      <c r="AZ68" s="1641" t="s">
        <v>1516</v>
      </c>
      <c r="BA68" s="1643" t="s">
        <v>909</v>
      </c>
    </row>
    <row r="69" spans="1:53" ht="77.5" outlineLevel="1" x14ac:dyDescent="0.25">
      <c r="A69" s="1011">
        <v>2</v>
      </c>
      <c r="B69" s="1169" t="s">
        <v>1559</v>
      </c>
      <c r="C69" s="1011"/>
      <c r="D69" s="1011"/>
      <c r="E69" s="1031"/>
      <c r="F69" s="1037"/>
      <c r="G69" s="1036">
        <v>2.5</v>
      </c>
      <c r="H69" s="1036"/>
      <c r="I69" s="1036"/>
      <c r="J69" s="1016"/>
      <c r="K69" s="1031"/>
      <c r="L69" s="1036"/>
      <c r="M69" s="1036"/>
      <c r="N69" s="1036"/>
      <c r="O69" s="1039" t="s">
        <v>1558</v>
      </c>
      <c r="P69" s="1207"/>
      <c r="Q69" s="1258"/>
      <c r="R69" s="1258"/>
      <c r="S69" s="1258"/>
      <c r="T69" s="1214">
        <f t="shared" si="0"/>
        <v>0</v>
      </c>
      <c r="U69" s="1258"/>
      <c r="V69" s="1258"/>
      <c r="W69" s="1258"/>
      <c r="X69" s="1259"/>
      <c r="Y69" s="1036">
        <v>2.5</v>
      </c>
      <c r="Z69" s="1259"/>
      <c r="AA69" s="1259"/>
      <c r="AB69" s="1259"/>
      <c r="AC69" s="1260"/>
      <c r="AD69" s="1260"/>
      <c r="AE69" s="1260"/>
      <c r="AF69" s="1260"/>
      <c r="AG69" s="1260"/>
      <c r="AH69" s="1260"/>
      <c r="AI69" s="1260"/>
      <c r="AJ69" s="1260"/>
      <c r="AK69" s="1260"/>
      <c r="AL69" s="1260"/>
      <c r="AM69" s="1261"/>
      <c r="AN69" s="1259"/>
      <c r="AO69" s="1259"/>
      <c r="AP69" s="1259"/>
      <c r="AQ69" s="1214">
        <f t="shared" si="1"/>
        <v>0</v>
      </c>
      <c r="AR69" s="1259"/>
      <c r="AS69" s="1259"/>
      <c r="AT69" s="1259"/>
      <c r="AU69" s="1259"/>
      <c r="AV69" s="1036">
        <v>2.5</v>
      </c>
      <c r="AW69" s="1259"/>
      <c r="AX69" s="1259"/>
      <c r="AY69" s="1259"/>
      <c r="AZ69" s="1642"/>
      <c r="BA69" s="1644"/>
    </row>
    <row r="70" spans="1:53" ht="93" outlineLevel="1" x14ac:dyDescent="0.25">
      <c r="A70" s="1011">
        <v>3</v>
      </c>
      <c r="B70" s="1169" t="s">
        <v>1557</v>
      </c>
      <c r="C70" s="1011"/>
      <c r="D70" s="1011"/>
      <c r="E70" s="1031"/>
      <c r="F70" s="1037"/>
      <c r="G70" s="1036">
        <v>0.6</v>
      </c>
      <c r="H70" s="1036"/>
      <c r="I70" s="1036"/>
      <c r="J70" s="1016"/>
      <c r="K70" s="1031"/>
      <c r="L70" s="1036"/>
      <c r="M70" s="1036"/>
      <c r="N70" s="1036"/>
      <c r="O70" s="1039" t="s">
        <v>1556</v>
      </c>
      <c r="P70" s="1207"/>
      <c r="Q70" s="1258"/>
      <c r="R70" s="1258"/>
      <c r="S70" s="1258"/>
      <c r="T70" s="1214">
        <f t="shared" si="0"/>
        <v>0</v>
      </c>
      <c r="U70" s="1258"/>
      <c r="V70" s="1258"/>
      <c r="W70" s="1258"/>
      <c r="X70" s="1259"/>
      <c r="Y70" s="1036">
        <v>0.6</v>
      </c>
      <c r="Z70" s="1259"/>
      <c r="AA70" s="1259"/>
      <c r="AB70" s="1259"/>
      <c r="AC70" s="1260"/>
      <c r="AD70" s="1260"/>
      <c r="AE70" s="1260"/>
      <c r="AF70" s="1260"/>
      <c r="AG70" s="1260"/>
      <c r="AH70" s="1260"/>
      <c r="AI70" s="1260"/>
      <c r="AJ70" s="1260"/>
      <c r="AK70" s="1260"/>
      <c r="AL70" s="1260"/>
      <c r="AM70" s="1261"/>
      <c r="AN70" s="1259"/>
      <c r="AO70" s="1259"/>
      <c r="AP70" s="1259"/>
      <c r="AQ70" s="1214">
        <f t="shared" si="1"/>
        <v>0</v>
      </c>
      <c r="AR70" s="1259"/>
      <c r="AS70" s="1259"/>
      <c r="AT70" s="1259"/>
      <c r="AU70" s="1259"/>
      <c r="AV70" s="1036">
        <v>0.6</v>
      </c>
      <c r="AW70" s="1259"/>
      <c r="AX70" s="1259"/>
      <c r="AY70" s="1259"/>
      <c r="AZ70" s="1642"/>
      <c r="BA70" s="1644"/>
    </row>
    <row r="71" spans="1:53" ht="62" outlineLevel="1" x14ac:dyDescent="0.25">
      <c r="A71" s="1011">
        <v>4</v>
      </c>
      <c r="B71" s="1169" t="s">
        <v>1555</v>
      </c>
      <c r="C71" s="1011"/>
      <c r="D71" s="1011"/>
      <c r="E71" s="1031"/>
      <c r="F71" s="1037"/>
      <c r="G71" s="1036">
        <v>0.6</v>
      </c>
      <c r="H71" s="1036"/>
      <c r="I71" s="1036"/>
      <c r="J71" s="1016"/>
      <c r="K71" s="1031"/>
      <c r="L71" s="1036"/>
      <c r="M71" s="1036"/>
      <c r="N71" s="1036"/>
      <c r="O71" s="1039" t="s">
        <v>1554</v>
      </c>
      <c r="P71" s="1207"/>
      <c r="Q71" s="1258"/>
      <c r="R71" s="1258"/>
      <c r="S71" s="1258"/>
      <c r="T71" s="1214">
        <f t="shared" si="0"/>
        <v>0</v>
      </c>
      <c r="U71" s="1258"/>
      <c r="V71" s="1258"/>
      <c r="W71" s="1258"/>
      <c r="X71" s="1259"/>
      <c r="Y71" s="1036">
        <v>0.6</v>
      </c>
      <c r="Z71" s="1259"/>
      <c r="AA71" s="1259"/>
      <c r="AB71" s="1259"/>
      <c r="AC71" s="1260"/>
      <c r="AD71" s="1260"/>
      <c r="AE71" s="1260"/>
      <c r="AF71" s="1260"/>
      <c r="AG71" s="1260"/>
      <c r="AH71" s="1260"/>
      <c r="AI71" s="1260"/>
      <c r="AJ71" s="1260"/>
      <c r="AK71" s="1260"/>
      <c r="AL71" s="1260"/>
      <c r="AM71" s="1261"/>
      <c r="AN71" s="1259"/>
      <c r="AO71" s="1259"/>
      <c r="AP71" s="1259"/>
      <c r="AQ71" s="1214">
        <f t="shared" si="1"/>
        <v>0</v>
      </c>
      <c r="AR71" s="1259"/>
      <c r="AS71" s="1259"/>
      <c r="AT71" s="1259"/>
      <c r="AU71" s="1259"/>
      <c r="AV71" s="1036">
        <v>0.6</v>
      </c>
      <c r="AW71" s="1259"/>
      <c r="AX71" s="1259"/>
      <c r="AY71" s="1259"/>
      <c r="AZ71" s="1642"/>
      <c r="BA71" s="1644"/>
    </row>
    <row r="72" spans="1:53" ht="93" outlineLevel="1" x14ac:dyDescent="0.25">
      <c r="A72" s="1011">
        <v>5</v>
      </c>
      <c r="B72" s="1169" t="s">
        <v>1553</v>
      </c>
      <c r="C72" s="1011"/>
      <c r="D72" s="1011"/>
      <c r="E72" s="1031"/>
      <c r="F72" s="1037"/>
      <c r="G72" s="1036">
        <v>11</v>
      </c>
      <c r="H72" s="1036"/>
      <c r="I72" s="1036"/>
      <c r="J72" s="1016"/>
      <c r="K72" s="1031"/>
      <c r="L72" s="1036"/>
      <c r="M72" s="1036"/>
      <c r="N72" s="1036"/>
      <c r="O72" s="1039" t="s">
        <v>1552</v>
      </c>
      <c r="P72" s="1207"/>
      <c r="Q72" s="1258"/>
      <c r="R72" s="1258"/>
      <c r="S72" s="1258"/>
      <c r="T72" s="1214">
        <f t="shared" si="0"/>
        <v>0</v>
      </c>
      <c r="U72" s="1258"/>
      <c r="V72" s="1258"/>
      <c r="W72" s="1258"/>
      <c r="X72" s="1259"/>
      <c r="Y72" s="1036">
        <v>11</v>
      </c>
      <c r="Z72" s="1259"/>
      <c r="AA72" s="1259"/>
      <c r="AB72" s="1259"/>
      <c r="AC72" s="1260"/>
      <c r="AD72" s="1260"/>
      <c r="AE72" s="1260"/>
      <c r="AF72" s="1260"/>
      <c r="AG72" s="1260"/>
      <c r="AH72" s="1260"/>
      <c r="AI72" s="1260"/>
      <c r="AJ72" s="1260"/>
      <c r="AK72" s="1260"/>
      <c r="AL72" s="1260"/>
      <c r="AM72" s="1261"/>
      <c r="AN72" s="1259"/>
      <c r="AO72" s="1259"/>
      <c r="AP72" s="1259"/>
      <c r="AQ72" s="1214">
        <f t="shared" si="1"/>
        <v>0</v>
      </c>
      <c r="AR72" s="1259"/>
      <c r="AS72" s="1259"/>
      <c r="AT72" s="1259"/>
      <c r="AU72" s="1259"/>
      <c r="AV72" s="1036">
        <v>11</v>
      </c>
      <c r="AW72" s="1259"/>
      <c r="AX72" s="1259"/>
      <c r="AY72" s="1259"/>
      <c r="AZ72" s="1645"/>
      <c r="BA72" s="1646"/>
    </row>
    <row r="73" spans="1:53" ht="18.75" customHeight="1" outlineLevel="1" x14ac:dyDescent="0.25">
      <c r="A73" s="1011"/>
      <c r="B73" s="1150" t="s">
        <v>1551</v>
      </c>
      <c r="C73" s="1011"/>
      <c r="D73" s="1011"/>
      <c r="E73" s="1031"/>
      <c r="F73" s="1037"/>
      <c r="G73" s="1036"/>
      <c r="H73" s="1036"/>
      <c r="I73" s="1036"/>
      <c r="J73" s="1016"/>
      <c r="K73" s="1031"/>
      <c r="L73" s="1036"/>
      <c r="M73" s="1036"/>
      <c r="N73" s="1036"/>
      <c r="O73" s="1036"/>
      <c r="P73" s="1207"/>
      <c r="Q73" s="1258"/>
      <c r="R73" s="1258"/>
      <c r="S73" s="1258"/>
      <c r="T73" s="1214">
        <f t="shared" si="0"/>
        <v>0</v>
      </c>
      <c r="U73" s="1258"/>
      <c r="V73" s="1258"/>
      <c r="W73" s="1258"/>
      <c r="X73" s="1259"/>
      <c r="Y73" s="1259"/>
      <c r="Z73" s="1038"/>
      <c r="AA73" s="1036"/>
      <c r="AB73" s="1036"/>
      <c r="AC73" s="1260"/>
      <c r="AD73" s="1260"/>
      <c r="AE73" s="1260"/>
      <c r="AF73" s="1260"/>
      <c r="AG73" s="1260"/>
      <c r="AH73" s="1260"/>
      <c r="AI73" s="1260"/>
      <c r="AJ73" s="1260"/>
      <c r="AK73" s="1036"/>
      <c r="AL73" s="1036"/>
      <c r="AM73" s="1261"/>
      <c r="AN73" s="1259"/>
      <c r="AO73" s="1259"/>
      <c r="AP73" s="1259"/>
      <c r="AQ73" s="1214">
        <f t="shared" si="1"/>
        <v>0</v>
      </c>
      <c r="AR73" s="1259"/>
      <c r="AS73" s="1259"/>
      <c r="AT73" s="1259"/>
      <c r="AU73" s="1259"/>
      <c r="AV73" s="1259"/>
      <c r="AW73" s="1038"/>
      <c r="AX73" s="1036"/>
      <c r="AY73" s="1259"/>
      <c r="AZ73" s="1641" t="s">
        <v>1516</v>
      </c>
      <c r="BA73" s="1643" t="s">
        <v>909</v>
      </c>
    </row>
    <row r="74" spans="1:53" ht="77.5" outlineLevel="1" x14ac:dyDescent="0.25">
      <c r="A74" s="1011">
        <v>1</v>
      </c>
      <c r="B74" s="1169" t="s">
        <v>1550</v>
      </c>
      <c r="C74" s="1011"/>
      <c r="D74" s="1011"/>
      <c r="E74" s="1031"/>
      <c r="F74" s="1037"/>
      <c r="G74" s="1036">
        <v>6</v>
      </c>
      <c r="H74" s="1036"/>
      <c r="I74" s="1036"/>
      <c r="J74" s="1016"/>
      <c r="K74" s="1031"/>
      <c r="L74" s="1036"/>
      <c r="M74" s="1036"/>
      <c r="N74" s="1036"/>
      <c r="O74" s="1016" t="s">
        <v>1549</v>
      </c>
      <c r="P74" s="1207"/>
      <c r="Q74" s="1258"/>
      <c r="R74" s="1258"/>
      <c r="S74" s="1258"/>
      <c r="T74" s="1214">
        <f t="shared" si="0"/>
        <v>0</v>
      </c>
      <c r="U74" s="1258"/>
      <c r="V74" s="1258"/>
      <c r="W74" s="1258"/>
      <c r="X74" s="1259"/>
      <c r="Y74" s="1038">
        <v>6</v>
      </c>
      <c r="Z74" s="1038"/>
      <c r="AA74" s="1036"/>
      <c r="AB74" s="1036">
        <v>0</v>
      </c>
      <c r="AC74" s="1260"/>
      <c r="AD74" s="1260"/>
      <c r="AE74" s="1260"/>
      <c r="AF74" s="1260"/>
      <c r="AG74" s="1260"/>
      <c r="AH74" s="1260"/>
      <c r="AI74" s="1260"/>
      <c r="AJ74" s="1260"/>
      <c r="AK74" s="1036"/>
      <c r="AL74" s="1036"/>
      <c r="AM74" s="1261"/>
      <c r="AN74" s="1259"/>
      <c r="AO74" s="1259"/>
      <c r="AP74" s="1259"/>
      <c r="AQ74" s="1214">
        <f t="shared" si="1"/>
        <v>0</v>
      </c>
      <c r="AR74" s="1259"/>
      <c r="AS74" s="1259"/>
      <c r="AT74" s="1259"/>
      <c r="AU74" s="1259"/>
      <c r="AV74" s="1038">
        <v>6</v>
      </c>
      <c r="AW74" s="1038"/>
      <c r="AX74" s="1036"/>
      <c r="AY74" s="1259"/>
      <c r="AZ74" s="1642"/>
      <c r="BA74" s="1644"/>
    </row>
    <row r="75" spans="1:53" ht="62" outlineLevel="1" x14ac:dyDescent="0.25">
      <c r="A75" s="1011">
        <v>2</v>
      </c>
      <c r="B75" s="1169" t="s">
        <v>1548</v>
      </c>
      <c r="C75" s="1011"/>
      <c r="D75" s="1011"/>
      <c r="E75" s="1031"/>
      <c r="F75" s="1037"/>
      <c r="G75" s="1036">
        <v>10.199999999999999</v>
      </c>
      <c r="H75" s="1036"/>
      <c r="I75" s="1036"/>
      <c r="J75" s="1016"/>
      <c r="K75" s="1031"/>
      <c r="L75" s="1036"/>
      <c r="M75" s="1036"/>
      <c r="N75" s="1036"/>
      <c r="O75" s="1045" t="s">
        <v>1547</v>
      </c>
      <c r="P75" s="1207"/>
      <c r="Q75" s="1258"/>
      <c r="R75" s="1258"/>
      <c r="S75" s="1258"/>
      <c r="T75" s="1214">
        <f t="shared" ref="T75:T102" si="4">SUM(P75:S75)</f>
        <v>0</v>
      </c>
      <c r="U75" s="1258"/>
      <c r="V75" s="1258"/>
      <c r="W75" s="1258"/>
      <c r="X75" s="1259"/>
      <c r="Y75" s="1038">
        <v>10.199999999999999</v>
      </c>
      <c r="Z75" s="1038"/>
      <c r="AA75" s="1036"/>
      <c r="AB75" s="1036"/>
      <c r="AC75" s="1260"/>
      <c r="AD75" s="1260"/>
      <c r="AE75" s="1260"/>
      <c r="AF75" s="1260"/>
      <c r="AG75" s="1260"/>
      <c r="AH75" s="1260"/>
      <c r="AI75" s="1260"/>
      <c r="AJ75" s="1260"/>
      <c r="AK75" s="1036"/>
      <c r="AL75" s="1036"/>
      <c r="AM75" s="1261"/>
      <c r="AN75" s="1259"/>
      <c r="AO75" s="1259"/>
      <c r="AP75" s="1259"/>
      <c r="AQ75" s="1214">
        <f t="shared" ref="AQ75:AQ102" si="5">SUM(AM75:AP75)</f>
        <v>0</v>
      </c>
      <c r="AR75" s="1259"/>
      <c r="AS75" s="1259"/>
      <c r="AT75" s="1259"/>
      <c r="AU75" s="1259"/>
      <c r="AV75" s="1038">
        <v>10.199999999999999</v>
      </c>
      <c r="AW75" s="1038"/>
      <c r="AX75" s="1036"/>
      <c r="AY75" s="1259"/>
      <c r="AZ75" s="1642"/>
      <c r="BA75" s="1644"/>
    </row>
    <row r="76" spans="1:53" ht="62" outlineLevel="1" x14ac:dyDescent="0.25">
      <c r="A76" s="1011">
        <v>3</v>
      </c>
      <c r="B76" s="1169" t="s">
        <v>1546</v>
      </c>
      <c r="C76" s="1011"/>
      <c r="D76" s="1011"/>
      <c r="E76" s="1031"/>
      <c r="F76" s="1037"/>
      <c r="G76" s="1036">
        <v>0.6</v>
      </c>
      <c r="H76" s="1036"/>
      <c r="I76" s="1036"/>
      <c r="J76" s="1016"/>
      <c r="K76" s="1031"/>
      <c r="L76" s="1036"/>
      <c r="M76" s="1036"/>
      <c r="N76" s="1036"/>
      <c r="O76" s="1045" t="s">
        <v>1545</v>
      </c>
      <c r="P76" s="1207"/>
      <c r="Q76" s="1258"/>
      <c r="R76" s="1258"/>
      <c r="S76" s="1258"/>
      <c r="T76" s="1214">
        <f t="shared" si="4"/>
        <v>0</v>
      </c>
      <c r="U76" s="1258"/>
      <c r="V76" s="1258"/>
      <c r="W76" s="1258"/>
      <c r="X76" s="1259"/>
      <c r="Y76" s="1038">
        <v>0.6</v>
      </c>
      <c r="Z76" s="1038"/>
      <c r="AA76" s="1036"/>
      <c r="AB76" s="1036"/>
      <c r="AC76" s="1260"/>
      <c r="AD76" s="1260"/>
      <c r="AE76" s="1260"/>
      <c r="AF76" s="1260"/>
      <c r="AG76" s="1260"/>
      <c r="AH76" s="1260"/>
      <c r="AI76" s="1260"/>
      <c r="AJ76" s="1260"/>
      <c r="AK76" s="1036"/>
      <c r="AL76" s="1036"/>
      <c r="AM76" s="1261"/>
      <c r="AN76" s="1259"/>
      <c r="AO76" s="1259"/>
      <c r="AP76" s="1259"/>
      <c r="AQ76" s="1214">
        <f t="shared" si="5"/>
        <v>0</v>
      </c>
      <c r="AR76" s="1259"/>
      <c r="AS76" s="1259"/>
      <c r="AT76" s="1259"/>
      <c r="AU76" s="1259"/>
      <c r="AV76" s="1038">
        <v>0.6</v>
      </c>
      <c r="AW76" s="1038"/>
      <c r="AX76" s="1036"/>
      <c r="AY76" s="1259"/>
      <c r="AZ76" s="1642"/>
      <c r="BA76" s="1644"/>
    </row>
    <row r="77" spans="1:53" ht="62" outlineLevel="1" x14ac:dyDescent="0.25">
      <c r="A77" s="1011">
        <v>4</v>
      </c>
      <c r="B77" s="1169" t="s">
        <v>1544</v>
      </c>
      <c r="C77" s="1011"/>
      <c r="D77" s="1011"/>
      <c r="E77" s="1031"/>
      <c r="F77" s="1037"/>
      <c r="G77" s="1036">
        <v>3</v>
      </c>
      <c r="H77" s="1036"/>
      <c r="I77" s="1036"/>
      <c r="J77" s="1016"/>
      <c r="K77" s="1031"/>
      <c r="L77" s="1036"/>
      <c r="M77" s="1036"/>
      <c r="N77" s="1036"/>
      <c r="O77" s="1045" t="s">
        <v>1543</v>
      </c>
      <c r="P77" s="1207"/>
      <c r="Q77" s="1258"/>
      <c r="R77" s="1258"/>
      <c r="S77" s="1258"/>
      <c r="T77" s="1214">
        <f t="shared" si="4"/>
        <v>0</v>
      </c>
      <c r="U77" s="1258"/>
      <c r="V77" s="1258"/>
      <c r="W77" s="1258"/>
      <c r="X77" s="1259"/>
      <c r="Y77" s="1038">
        <v>3</v>
      </c>
      <c r="Z77" s="1038"/>
      <c r="AA77" s="1036"/>
      <c r="AB77" s="1036"/>
      <c r="AC77" s="1260"/>
      <c r="AD77" s="1260"/>
      <c r="AE77" s="1260"/>
      <c r="AF77" s="1260"/>
      <c r="AG77" s="1260"/>
      <c r="AH77" s="1260"/>
      <c r="AI77" s="1260"/>
      <c r="AJ77" s="1260"/>
      <c r="AK77" s="1036"/>
      <c r="AL77" s="1036"/>
      <c r="AM77" s="1261"/>
      <c r="AN77" s="1259"/>
      <c r="AO77" s="1259"/>
      <c r="AP77" s="1259"/>
      <c r="AQ77" s="1214">
        <f t="shared" si="5"/>
        <v>0</v>
      </c>
      <c r="AR77" s="1259"/>
      <c r="AS77" s="1259"/>
      <c r="AT77" s="1259"/>
      <c r="AU77" s="1259"/>
      <c r="AV77" s="1038">
        <v>3</v>
      </c>
      <c r="AW77" s="1038"/>
      <c r="AX77" s="1036"/>
      <c r="AY77" s="1259"/>
      <c r="AZ77" s="1642"/>
      <c r="BA77" s="1644"/>
    </row>
    <row r="78" spans="1:53" ht="62" outlineLevel="1" x14ac:dyDescent="0.25">
      <c r="A78" s="1011">
        <v>5</v>
      </c>
      <c r="B78" s="1169" t="s">
        <v>1542</v>
      </c>
      <c r="C78" s="1011"/>
      <c r="D78" s="1011"/>
      <c r="E78" s="1031"/>
      <c r="F78" s="1037"/>
      <c r="G78" s="1036">
        <v>3.75</v>
      </c>
      <c r="H78" s="1036"/>
      <c r="I78" s="1036"/>
      <c r="J78" s="1016"/>
      <c r="K78" s="1031"/>
      <c r="L78" s="1036"/>
      <c r="M78" s="1036"/>
      <c r="N78" s="1036"/>
      <c r="O78" s="1045" t="s">
        <v>1540</v>
      </c>
      <c r="P78" s="1207"/>
      <c r="Q78" s="1258"/>
      <c r="R78" s="1258"/>
      <c r="S78" s="1258"/>
      <c r="T78" s="1214">
        <f t="shared" si="4"/>
        <v>0</v>
      </c>
      <c r="U78" s="1258"/>
      <c r="V78" s="1258"/>
      <c r="W78" s="1258"/>
      <c r="X78" s="1259"/>
      <c r="Y78" s="1038">
        <v>3.75</v>
      </c>
      <c r="Z78" s="1038"/>
      <c r="AA78" s="1036"/>
      <c r="AB78" s="1036"/>
      <c r="AC78" s="1260"/>
      <c r="AD78" s="1260"/>
      <c r="AE78" s="1260"/>
      <c r="AF78" s="1260"/>
      <c r="AG78" s="1260"/>
      <c r="AH78" s="1260"/>
      <c r="AI78" s="1260"/>
      <c r="AJ78" s="1260"/>
      <c r="AK78" s="1036"/>
      <c r="AL78" s="1036"/>
      <c r="AM78" s="1261"/>
      <c r="AN78" s="1259"/>
      <c r="AO78" s="1259"/>
      <c r="AP78" s="1259"/>
      <c r="AQ78" s="1214">
        <f t="shared" si="5"/>
        <v>0</v>
      </c>
      <c r="AR78" s="1259"/>
      <c r="AS78" s="1259"/>
      <c r="AT78" s="1259"/>
      <c r="AU78" s="1259"/>
      <c r="AV78" s="1038">
        <v>3.75</v>
      </c>
      <c r="AW78" s="1038"/>
      <c r="AX78" s="1036"/>
      <c r="AY78" s="1259"/>
      <c r="AZ78" s="1642"/>
      <c r="BA78" s="1644"/>
    </row>
    <row r="79" spans="1:53" ht="62" outlineLevel="1" x14ac:dyDescent="0.25">
      <c r="A79" s="1011">
        <v>6</v>
      </c>
      <c r="B79" s="1169" t="s">
        <v>1541</v>
      </c>
      <c r="C79" s="1011"/>
      <c r="D79" s="1011"/>
      <c r="E79" s="1031"/>
      <c r="F79" s="1037"/>
      <c r="G79" s="1036">
        <v>1.5</v>
      </c>
      <c r="H79" s="1036"/>
      <c r="I79" s="1036"/>
      <c r="J79" s="1016"/>
      <c r="K79" s="1031"/>
      <c r="L79" s="1036"/>
      <c r="M79" s="1036"/>
      <c r="N79" s="1036"/>
      <c r="O79" s="1045" t="s">
        <v>1540</v>
      </c>
      <c r="P79" s="1207"/>
      <c r="Q79" s="1258"/>
      <c r="R79" s="1258"/>
      <c r="S79" s="1258"/>
      <c r="T79" s="1214">
        <f t="shared" si="4"/>
        <v>0</v>
      </c>
      <c r="U79" s="1258"/>
      <c r="V79" s="1258"/>
      <c r="W79" s="1258"/>
      <c r="X79" s="1259"/>
      <c r="Y79" s="1036">
        <v>1.5</v>
      </c>
      <c r="Z79" s="1036"/>
      <c r="AA79" s="1036"/>
      <c r="AB79" s="1036"/>
      <c r="AC79" s="1260"/>
      <c r="AD79" s="1260"/>
      <c r="AE79" s="1260"/>
      <c r="AF79" s="1260"/>
      <c r="AG79" s="1260"/>
      <c r="AH79" s="1260"/>
      <c r="AI79" s="1260"/>
      <c r="AJ79" s="1260"/>
      <c r="AK79" s="1036"/>
      <c r="AL79" s="1036"/>
      <c r="AM79" s="1261"/>
      <c r="AN79" s="1259"/>
      <c r="AO79" s="1259"/>
      <c r="AP79" s="1259"/>
      <c r="AQ79" s="1214">
        <f t="shared" si="5"/>
        <v>0</v>
      </c>
      <c r="AR79" s="1259"/>
      <c r="AS79" s="1259"/>
      <c r="AT79" s="1259"/>
      <c r="AU79" s="1259"/>
      <c r="AV79" s="1036">
        <v>1.5</v>
      </c>
      <c r="AW79" s="1036"/>
      <c r="AX79" s="1036"/>
      <c r="AY79" s="1259"/>
      <c r="AZ79" s="1645"/>
      <c r="BA79" s="1646"/>
    </row>
    <row r="80" spans="1:53" outlineLevel="1" x14ac:dyDescent="0.25">
      <c r="B80" s="1172" t="s">
        <v>1539</v>
      </c>
      <c r="J80" s="1021"/>
      <c r="T80" s="1214">
        <f t="shared" si="4"/>
        <v>0</v>
      </c>
      <c r="X80" s="1188"/>
      <c r="Y80" s="1188"/>
      <c r="Z80" s="1013"/>
      <c r="AA80" s="1013"/>
      <c r="AB80" s="1013"/>
      <c r="AI80" s="1186"/>
      <c r="AJ80" s="1186"/>
      <c r="AK80" s="1013"/>
      <c r="AL80" s="1013"/>
      <c r="AQ80" s="1214">
        <f t="shared" si="5"/>
        <v>0</v>
      </c>
      <c r="AU80" s="1188"/>
      <c r="AV80" s="1188"/>
      <c r="AW80" s="1013"/>
      <c r="AX80" s="1013"/>
    </row>
    <row r="81" spans="1:53" ht="77.5" outlineLevel="1" x14ac:dyDescent="0.25">
      <c r="A81" s="1011">
        <v>1</v>
      </c>
      <c r="B81" s="1169" t="s">
        <v>1538</v>
      </c>
      <c r="C81" s="1011"/>
      <c r="D81" s="1011"/>
      <c r="E81" s="1031"/>
      <c r="F81" s="1037"/>
      <c r="G81" s="1036">
        <v>2</v>
      </c>
      <c r="H81" s="1036"/>
      <c r="I81" s="1036"/>
      <c r="J81" s="1016"/>
      <c r="K81" s="1031"/>
      <c r="L81" s="1036"/>
      <c r="M81" s="1036"/>
      <c r="N81" s="1036"/>
      <c r="O81" s="1045" t="s">
        <v>1537</v>
      </c>
      <c r="P81" s="1207"/>
      <c r="Q81" s="1258"/>
      <c r="R81" s="1258"/>
      <c r="S81" s="1258"/>
      <c r="T81" s="1214">
        <f t="shared" si="4"/>
        <v>0</v>
      </c>
      <c r="U81" s="1258"/>
      <c r="V81" s="1258"/>
      <c r="W81" s="1258"/>
      <c r="X81" s="1259"/>
      <c r="Y81" s="1036">
        <v>2</v>
      </c>
      <c r="Z81" s="1036"/>
      <c r="AA81" s="1036"/>
      <c r="AB81" s="1036"/>
      <c r="AC81" s="1260"/>
      <c r="AD81" s="1260"/>
      <c r="AE81" s="1260"/>
      <c r="AF81" s="1260"/>
      <c r="AG81" s="1260"/>
      <c r="AH81" s="1260"/>
      <c r="AI81" s="1260"/>
      <c r="AJ81" s="1260"/>
      <c r="AK81" s="1036"/>
      <c r="AL81" s="1036"/>
      <c r="AM81" s="1261"/>
      <c r="AN81" s="1259"/>
      <c r="AO81" s="1259"/>
      <c r="AP81" s="1259"/>
      <c r="AQ81" s="1214">
        <f t="shared" si="5"/>
        <v>0</v>
      </c>
      <c r="AR81" s="1259"/>
      <c r="AS81" s="1259"/>
      <c r="AT81" s="1259"/>
      <c r="AU81" s="1259"/>
      <c r="AV81" s="1036">
        <v>2</v>
      </c>
      <c r="AW81" s="1036"/>
      <c r="AX81" s="1036"/>
      <c r="AY81" s="1259"/>
      <c r="AZ81" s="1641" t="s">
        <v>1516</v>
      </c>
      <c r="BA81" s="1643" t="s">
        <v>909</v>
      </c>
    </row>
    <row r="82" spans="1:53" ht="31" outlineLevel="1" x14ac:dyDescent="0.25">
      <c r="A82" s="1011">
        <v>2</v>
      </c>
      <c r="B82" s="1169" t="s">
        <v>1536</v>
      </c>
      <c r="C82" s="1011"/>
      <c r="D82" s="1011"/>
      <c r="E82" s="1031"/>
      <c r="F82" s="1037"/>
      <c r="G82" s="1036">
        <v>0.25</v>
      </c>
      <c r="H82" s="1036"/>
      <c r="I82" s="1036"/>
      <c r="J82" s="1016"/>
      <c r="K82" s="1031"/>
      <c r="L82" s="1036"/>
      <c r="M82" s="1036"/>
      <c r="N82" s="1036"/>
      <c r="O82" s="1045" t="s">
        <v>1535</v>
      </c>
      <c r="P82" s="1207"/>
      <c r="Q82" s="1258"/>
      <c r="R82" s="1258"/>
      <c r="S82" s="1258"/>
      <c r="T82" s="1214">
        <f t="shared" si="4"/>
        <v>0</v>
      </c>
      <c r="U82" s="1258"/>
      <c r="V82" s="1258"/>
      <c r="W82" s="1258"/>
      <c r="X82" s="1259"/>
      <c r="Y82" s="1036">
        <v>0.25</v>
      </c>
      <c r="Z82" s="1036"/>
      <c r="AA82" s="1036"/>
      <c r="AB82" s="1036"/>
      <c r="AC82" s="1260"/>
      <c r="AD82" s="1260"/>
      <c r="AE82" s="1260"/>
      <c r="AF82" s="1260"/>
      <c r="AG82" s="1260"/>
      <c r="AH82" s="1260"/>
      <c r="AI82" s="1260"/>
      <c r="AJ82" s="1260"/>
      <c r="AK82" s="1036"/>
      <c r="AL82" s="1036"/>
      <c r="AM82" s="1261"/>
      <c r="AN82" s="1259"/>
      <c r="AO82" s="1259"/>
      <c r="AP82" s="1259"/>
      <c r="AQ82" s="1214">
        <f t="shared" si="5"/>
        <v>0</v>
      </c>
      <c r="AR82" s="1259"/>
      <c r="AS82" s="1259"/>
      <c r="AT82" s="1259"/>
      <c r="AU82" s="1259"/>
      <c r="AV82" s="1036">
        <v>0.25</v>
      </c>
      <c r="AW82" s="1036"/>
      <c r="AX82" s="1036"/>
      <c r="AY82" s="1259"/>
      <c r="AZ82" s="1642"/>
      <c r="BA82" s="1644"/>
    </row>
    <row r="83" spans="1:53" ht="31" outlineLevel="1" x14ac:dyDescent="0.25">
      <c r="A83" s="1011">
        <v>3</v>
      </c>
      <c r="B83" s="1169" t="s">
        <v>1534</v>
      </c>
      <c r="C83" s="1011"/>
      <c r="D83" s="1011"/>
      <c r="E83" s="1031"/>
      <c r="F83" s="1037"/>
      <c r="G83" s="1036">
        <v>1.5</v>
      </c>
      <c r="H83" s="1036"/>
      <c r="I83" s="1036"/>
      <c r="J83" s="1016"/>
      <c r="K83" s="1031"/>
      <c r="L83" s="1036"/>
      <c r="M83" s="1036"/>
      <c r="N83" s="1036"/>
      <c r="O83" s="1045" t="s">
        <v>1533</v>
      </c>
      <c r="P83" s="1207"/>
      <c r="Q83" s="1258"/>
      <c r="R83" s="1258"/>
      <c r="S83" s="1258"/>
      <c r="T83" s="1214">
        <f t="shared" si="4"/>
        <v>0</v>
      </c>
      <c r="U83" s="1258"/>
      <c r="V83" s="1258"/>
      <c r="W83" s="1258"/>
      <c r="X83" s="1259"/>
      <c r="Y83" s="1036">
        <v>1.5</v>
      </c>
      <c r="Z83" s="1036"/>
      <c r="AA83" s="1036"/>
      <c r="AB83" s="1036"/>
      <c r="AC83" s="1260"/>
      <c r="AD83" s="1260"/>
      <c r="AE83" s="1260"/>
      <c r="AF83" s="1260"/>
      <c r="AG83" s="1260"/>
      <c r="AH83" s="1260"/>
      <c r="AI83" s="1260"/>
      <c r="AJ83" s="1260"/>
      <c r="AK83" s="1036"/>
      <c r="AL83" s="1036"/>
      <c r="AM83" s="1261"/>
      <c r="AN83" s="1259"/>
      <c r="AO83" s="1259"/>
      <c r="AP83" s="1259"/>
      <c r="AQ83" s="1214">
        <f t="shared" si="5"/>
        <v>0</v>
      </c>
      <c r="AR83" s="1259"/>
      <c r="AS83" s="1259"/>
      <c r="AT83" s="1259"/>
      <c r="AU83" s="1259"/>
      <c r="AV83" s="1036">
        <v>1.5</v>
      </c>
      <c r="AW83" s="1036"/>
      <c r="AX83" s="1036"/>
      <c r="AY83" s="1259"/>
      <c r="AZ83" s="1642"/>
      <c r="BA83" s="1644"/>
    </row>
    <row r="84" spans="1:53" ht="31" outlineLevel="1" x14ac:dyDescent="0.25">
      <c r="A84" s="1011">
        <v>4</v>
      </c>
      <c r="B84" s="1169" t="s">
        <v>1532</v>
      </c>
      <c r="C84" s="1011"/>
      <c r="D84" s="1011"/>
      <c r="E84" s="1031"/>
      <c r="F84" s="1037"/>
      <c r="G84" s="1036">
        <v>1.5</v>
      </c>
      <c r="H84" s="1036"/>
      <c r="I84" s="1036"/>
      <c r="J84" s="1016"/>
      <c r="K84" s="1031"/>
      <c r="L84" s="1036"/>
      <c r="M84" s="1036"/>
      <c r="N84" s="1036"/>
      <c r="O84" s="1045" t="s">
        <v>1531</v>
      </c>
      <c r="P84" s="1207"/>
      <c r="Q84" s="1258"/>
      <c r="R84" s="1258"/>
      <c r="S84" s="1258"/>
      <c r="T84" s="1214">
        <f t="shared" si="4"/>
        <v>0</v>
      </c>
      <c r="U84" s="1258"/>
      <c r="V84" s="1258"/>
      <c r="W84" s="1258"/>
      <c r="X84" s="1259"/>
      <c r="Y84" s="1036">
        <v>1.5</v>
      </c>
      <c r="Z84" s="1036"/>
      <c r="AA84" s="1036"/>
      <c r="AB84" s="1036"/>
      <c r="AC84" s="1260"/>
      <c r="AD84" s="1260"/>
      <c r="AE84" s="1260"/>
      <c r="AF84" s="1260"/>
      <c r="AG84" s="1260"/>
      <c r="AH84" s="1260"/>
      <c r="AI84" s="1260"/>
      <c r="AJ84" s="1260"/>
      <c r="AK84" s="1036"/>
      <c r="AL84" s="1036"/>
      <c r="AM84" s="1261"/>
      <c r="AN84" s="1259"/>
      <c r="AO84" s="1259"/>
      <c r="AP84" s="1259"/>
      <c r="AQ84" s="1214">
        <f t="shared" si="5"/>
        <v>0</v>
      </c>
      <c r="AR84" s="1259"/>
      <c r="AS84" s="1259"/>
      <c r="AT84" s="1259"/>
      <c r="AU84" s="1259"/>
      <c r="AV84" s="1036">
        <v>1.5</v>
      </c>
      <c r="AW84" s="1036"/>
      <c r="AX84" s="1036"/>
      <c r="AY84" s="1259"/>
      <c r="AZ84" s="1642"/>
      <c r="BA84" s="1644"/>
    </row>
    <row r="85" spans="1:53" ht="62" outlineLevel="1" x14ac:dyDescent="0.25">
      <c r="A85" s="1011">
        <v>5</v>
      </c>
      <c r="B85" s="1169" t="s">
        <v>1530</v>
      </c>
      <c r="C85" s="1011"/>
      <c r="D85" s="1011"/>
      <c r="E85" s="1031"/>
      <c r="F85" s="1037"/>
      <c r="G85" s="1036">
        <v>2</v>
      </c>
      <c r="H85" s="1036"/>
      <c r="I85" s="1036"/>
      <c r="J85" s="1016"/>
      <c r="K85" s="1031"/>
      <c r="L85" s="1036"/>
      <c r="M85" s="1036"/>
      <c r="N85" s="1036"/>
      <c r="O85" s="1045" t="s">
        <v>1528</v>
      </c>
      <c r="P85" s="1207"/>
      <c r="Q85" s="1258"/>
      <c r="R85" s="1258"/>
      <c r="S85" s="1258"/>
      <c r="T85" s="1214">
        <f t="shared" si="4"/>
        <v>0</v>
      </c>
      <c r="U85" s="1258"/>
      <c r="V85" s="1258"/>
      <c r="W85" s="1258"/>
      <c r="X85" s="1259"/>
      <c r="Y85" s="1036">
        <v>2</v>
      </c>
      <c r="Z85" s="1036"/>
      <c r="AA85" s="1036"/>
      <c r="AB85" s="1036"/>
      <c r="AC85" s="1260"/>
      <c r="AD85" s="1260"/>
      <c r="AE85" s="1260"/>
      <c r="AF85" s="1260"/>
      <c r="AG85" s="1260"/>
      <c r="AH85" s="1260"/>
      <c r="AI85" s="1260"/>
      <c r="AJ85" s="1260"/>
      <c r="AK85" s="1036"/>
      <c r="AL85" s="1036"/>
      <c r="AM85" s="1261"/>
      <c r="AN85" s="1259"/>
      <c r="AO85" s="1259"/>
      <c r="AP85" s="1259"/>
      <c r="AQ85" s="1214">
        <f t="shared" si="5"/>
        <v>0</v>
      </c>
      <c r="AR85" s="1259"/>
      <c r="AS85" s="1259"/>
      <c r="AT85" s="1259"/>
      <c r="AU85" s="1259"/>
      <c r="AV85" s="1036">
        <v>2</v>
      </c>
      <c r="AW85" s="1036"/>
      <c r="AX85" s="1036"/>
      <c r="AY85" s="1259"/>
      <c r="AZ85" s="1642"/>
      <c r="BA85" s="1644"/>
    </row>
    <row r="86" spans="1:53" ht="62" outlineLevel="1" x14ac:dyDescent="0.25">
      <c r="A86" s="1011">
        <v>6</v>
      </c>
      <c r="B86" s="1169" t="s">
        <v>1529</v>
      </c>
      <c r="C86" s="1011"/>
      <c r="D86" s="1011"/>
      <c r="E86" s="1031"/>
      <c r="F86" s="1037"/>
      <c r="G86" s="1036">
        <v>7</v>
      </c>
      <c r="H86" s="1036"/>
      <c r="I86" s="1036"/>
      <c r="J86" s="1016"/>
      <c r="K86" s="1031"/>
      <c r="L86" s="1036"/>
      <c r="M86" s="1036"/>
      <c r="N86" s="1036"/>
      <c r="O86" s="1045" t="s">
        <v>1528</v>
      </c>
      <c r="P86" s="1207"/>
      <c r="Q86" s="1258"/>
      <c r="R86" s="1258"/>
      <c r="S86" s="1258"/>
      <c r="T86" s="1214">
        <f t="shared" si="4"/>
        <v>0</v>
      </c>
      <c r="U86" s="1258"/>
      <c r="V86" s="1258"/>
      <c r="W86" s="1258"/>
      <c r="X86" s="1259"/>
      <c r="Y86" s="1036">
        <v>7</v>
      </c>
      <c r="Z86" s="1036"/>
      <c r="AA86" s="1036">
        <v>0</v>
      </c>
      <c r="AB86" s="1036">
        <v>0</v>
      </c>
      <c r="AC86" s="1260"/>
      <c r="AD86" s="1260"/>
      <c r="AE86" s="1260"/>
      <c r="AF86" s="1260"/>
      <c r="AG86" s="1260"/>
      <c r="AH86" s="1260"/>
      <c r="AI86" s="1260"/>
      <c r="AJ86" s="1260"/>
      <c r="AK86" s="1036"/>
      <c r="AL86" s="1036"/>
      <c r="AM86" s="1261"/>
      <c r="AN86" s="1259"/>
      <c r="AO86" s="1259"/>
      <c r="AP86" s="1259"/>
      <c r="AQ86" s="1214">
        <f t="shared" si="5"/>
        <v>0</v>
      </c>
      <c r="AR86" s="1259"/>
      <c r="AS86" s="1259"/>
      <c r="AT86" s="1259"/>
      <c r="AU86" s="1259"/>
      <c r="AV86" s="1036">
        <v>7</v>
      </c>
      <c r="AW86" s="1036"/>
      <c r="AX86" s="1036">
        <v>0</v>
      </c>
      <c r="AY86" s="1259"/>
      <c r="AZ86" s="1645"/>
      <c r="BA86" s="1646"/>
    </row>
    <row r="87" spans="1:53" outlineLevel="1" x14ac:dyDescent="0.25">
      <c r="J87" s="1021"/>
      <c r="T87" s="1214">
        <f t="shared" si="4"/>
        <v>0</v>
      </c>
      <c r="X87" s="1188"/>
      <c r="Y87" s="1188"/>
      <c r="Z87" s="1188"/>
      <c r="AA87" s="1188"/>
      <c r="AB87" s="1188"/>
      <c r="AI87" s="1186"/>
      <c r="AJ87" s="1186"/>
      <c r="AK87" s="1186"/>
      <c r="AL87" s="1186"/>
      <c r="AQ87" s="1214">
        <f t="shared" si="5"/>
        <v>0</v>
      </c>
      <c r="AU87" s="1188"/>
      <c r="AV87" s="1188"/>
      <c r="AW87" s="1188"/>
      <c r="AX87" s="1188"/>
    </row>
    <row r="88" spans="1:53" outlineLevel="1" x14ac:dyDescent="0.25">
      <c r="B88" s="1150" t="s">
        <v>1527</v>
      </c>
      <c r="J88" s="1021"/>
      <c r="T88" s="1214">
        <f t="shared" si="4"/>
        <v>0</v>
      </c>
      <c r="X88" s="1188"/>
      <c r="Y88" s="1188"/>
      <c r="Z88" s="1188"/>
      <c r="AA88" s="1188"/>
      <c r="AB88" s="1188"/>
      <c r="AI88" s="1186"/>
      <c r="AJ88" s="1186"/>
      <c r="AK88" s="1186"/>
      <c r="AL88" s="1186"/>
      <c r="AQ88" s="1214">
        <f t="shared" si="5"/>
        <v>0</v>
      </c>
      <c r="AU88" s="1188"/>
      <c r="AV88" s="1188"/>
      <c r="AW88" s="1188"/>
      <c r="AX88" s="1188"/>
    </row>
    <row r="89" spans="1:53" outlineLevel="1" x14ac:dyDescent="0.25">
      <c r="B89" s="1150" t="s">
        <v>1526</v>
      </c>
      <c r="J89" s="1021"/>
      <c r="T89" s="1214">
        <f t="shared" si="4"/>
        <v>0</v>
      </c>
      <c r="X89" s="1188"/>
      <c r="Y89" s="1188"/>
      <c r="Z89" s="1188"/>
      <c r="AA89" s="1188"/>
      <c r="AB89" s="1188"/>
      <c r="AI89" s="1186"/>
      <c r="AJ89" s="1186"/>
      <c r="AK89" s="1186"/>
      <c r="AL89" s="1186"/>
      <c r="AQ89" s="1214">
        <f t="shared" si="5"/>
        <v>0</v>
      </c>
      <c r="AU89" s="1188"/>
      <c r="AV89" s="1188"/>
      <c r="AW89" s="1188"/>
      <c r="AX89" s="1188"/>
    </row>
    <row r="90" spans="1:53" ht="31" outlineLevel="1" x14ac:dyDescent="0.25">
      <c r="A90" s="1011">
        <v>1</v>
      </c>
      <c r="B90" s="1169" t="s">
        <v>1525</v>
      </c>
      <c r="C90" s="1011"/>
      <c r="D90" s="1011"/>
      <c r="E90" s="1031"/>
      <c r="F90" s="1037"/>
      <c r="G90" s="1036">
        <v>10</v>
      </c>
      <c r="H90" s="1036"/>
      <c r="I90" s="1036"/>
      <c r="J90" s="1016"/>
      <c r="K90" s="1031"/>
      <c r="L90" s="1036"/>
      <c r="M90" s="1036"/>
      <c r="N90" s="1036"/>
      <c r="O90" s="1039" t="s">
        <v>1520</v>
      </c>
      <c r="P90" s="1207"/>
      <c r="Q90" s="1258"/>
      <c r="R90" s="1258"/>
      <c r="S90" s="1258"/>
      <c r="T90" s="1214">
        <f t="shared" si="4"/>
        <v>0</v>
      </c>
      <c r="U90" s="1258"/>
      <c r="V90" s="1258"/>
      <c r="W90" s="1258"/>
      <c r="X90" s="1259"/>
      <c r="Y90" s="1259"/>
      <c r="Z90" s="1038">
        <v>10</v>
      </c>
      <c r="AA90" s="1036"/>
      <c r="AB90" s="1036">
        <v>0</v>
      </c>
      <c r="AC90" s="1260"/>
      <c r="AD90" s="1260"/>
      <c r="AE90" s="1260"/>
      <c r="AF90" s="1260"/>
      <c r="AG90" s="1260"/>
      <c r="AH90" s="1260"/>
      <c r="AI90" s="1260"/>
      <c r="AJ90" s="1260"/>
      <c r="AK90" s="1036"/>
      <c r="AL90" s="1036"/>
      <c r="AM90" s="1261"/>
      <c r="AN90" s="1259"/>
      <c r="AO90" s="1259"/>
      <c r="AP90" s="1259"/>
      <c r="AQ90" s="1214">
        <f t="shared" si="5"/>
        <v>0</v>
      </c>
      <c r="AR90" s="1259"/>
      <c r="AS90" s="1259"/>
      <c r="AT90" s="1259"/>
      <c r="AU90" s="1259"/>
      <c r="AV90" s="1259"/>
      <c r="AW90" s="1038">
        <v>10</v>
      </c>
      <c r="AX90" s="1036"/>
      <c r="AY90" s="1259"/>
      <c r="AZ90" s="1641" t="s">
        <v>1516</v>
      </c>
      <c r="BA90" s="1643" t="s">
        <v>909</v>
      </c>
    </row>
    <row r="91" spans="1:53" ht="31" outlineLevel="1" x14ac:dyDescent="0.25">
      <c r="A91" s="1011">
        <v>2</v>
      </c>
      <c r="B91" s="1169" t="s">
        <v>1524</v>
      </c>
      <c r="C91" s="1011"/>
      <c r="D91" s="1011"/>
      <c r="E91" s="1031"/>
      <c r="F91" s="1037"/>
      <c r="G91" s="1036">
        <v>0.5</v>
      </c>
      <c r="H91" s="1036"/>
      <c r="I91" s="1036"/>
      <c r="J91" s="1016"/>
      <c r="K91" s="1031"/>
      <c r="L91" s="1036"/>
      <c r="M91" s="1036"/>
      <c r="N91" s="1036"/>
      <c r="O91" s="1039" t="s">
        <v>1520</v>
      </c>
      <c r="P91" s="1207"/>
      <c r="Q91" s="1258"/>
      <c r="R91" s="1258"/>
      <c r="S91" s="1258"/>
      <c r="T91" s="1214">
        <f t="shared" si="4"/>
        <v>0</v>
      </c>
      <c r="U91" s="1258"/>
      <c r="V91" s="1258"/>
      <c r="W91" s="1258"/>
      <c r="X91" s="1259"/>
      <c r="Y91" s="1259"/>
      <c r="Z91" s="1038">
        <v>0.5</v>
      </c>
      <c r="AA91" s="1036"/>
      <c r="AB91" s="1036"/>
      <c r="AC91" s="1260"/>
      <c r="AD91" s="1260"/>
      <c r="AE91" s="1260"/>
      <c r="AF91" s="1260"/>
      <c r="AG91" s="1260"/>
      <c r="AH91" s="1260"/>
      <c r="AI91" s="1260"/>
      <c r="AJ91" s="1260"/>
      <c r="AK91" s="1036"/>
      <c r="AL91" s="1036"/>
      <c r="AM91" s="1261"/>
      <c r="AN91" s="1259"/>
      <c r="AO91" s="1259"/>
      <c r="AP91" s="1259"/>
      <c r="AQ91" s="1214">
        <f t="shared" si="5"/>
        <v>0</v>
      </c>
      <c r="AR91" s="1259"/>
      <c r="AS91" s="1259"/>
      <c r="AT91" s="1259"/>
      <c r="AU91" s="1259"/>
      <c r="AV91" s="1259"/>
      <c r="AW91" s="1038">
        <v>0.5</v>
      </c>
      <c r="AX91" s="1036"/>
      <c r="AY91" s="1259"/>
      <c r="AZ91" s="1642"/>
      <c r="BA91" s="1644"/>
    </row>
    <row r="92" spans="1:53" ht="31" outlineLevel="1" x14ac:dyDescent="0.25">
      <c r="A92" s="1011">
        <v>3</v>
      </c>
      <c r="B92" s="1169" t="s">
        <v>1523</v>
      </c>
      <c r="C92" s="1011"/>
      <c r="D92" s="1011"/>
      <c r="E92" s="1031"/>
      <c r="F92" s="1037"/>
      <c r="G92" s="1036">
        <v>0.5</v>
      </c>
      <c r="H92" s="1036"/>
      <c r="I92" s="1036"/>
      <c r="J92" s="1016"/>
      <c r="K92" s="1031"/>
      <c r="L92" s="1036"/>
      <c r="M92" s="1036"/>
      <c r="N92" s="1036"/>
      <c r="O92" s="1039" t="s">
        <v>1520</v>
      </c>
      <c r="P92" s="1207"/>
      <c r="Q92" s="1258"/>
      <c r="R92" s="1258"/>
      <c r="S92" s="1258"/>
      <c r="T92" s="1214">
        <f t="shared" si="4"/>
        <v>0</v>
      </c>
      <c r="U92" s="1258"/>
      <c r="V92" s="1258"/>
      <c r="W92" s="1258"/>
      <c r="X92" s="1259"/>
      <c r="Y92" s="1259"/>
      <c r="Z92" s="1038">
        <v>0.5</v>
      </c>
      <c r="AA92" s="1036"/>
      <c r="AB92" s="1036"/>
      <c r="AC92" s="1260"/>
      <c r="AD92" s="1260"/>
      <c r="AE92" s="1260"/>
      <c r="AF92" s="1260"/>
      <c r="AG92" s="1260"/>
      <c r="AH92" s="1260"/>
      <c r="AI92" s="1260"/>
      <c r="AJ92" s="1260"/>
      <c r="AK92" s="1036"/>
      <c r="AL92" s="1036"/>
      <c r="AM92" s="1261"/>
      <c r="AN92" s="1259"/>
      <c r="AO92" s="1259"/>
      <c r="AP92" s="1259"/>
      <c r="AQ92" s="1214">
        <f t="shared" si="5"/>
        <v>0</v>
      </c>
      <c r="AR92" s="1259"/>
      <c r="AS92" s="1259"/>
      <c r="AT92" s="1259"/>
      <c r="AU92" s="1259"/>
      <c r="AV92" s="1259"/>
      <c r="AW92" s="1038">
        <v>0.5</v>
      </c>
      <c r="AX92" s="1036"/>
      <c r="AY92" s="1259"/>
      <c r="AZ92" s="1642"/>
      <c r="BA92" s="1644"/>
    </row>
    <row r="93" spans="1:53" ht="31" outlineLevel="1" x14ac:dyDescent="0.25">
      <c r="A93" s="1011">
        <v>4</v>
      </c>
      <c r="B93" s="1169" t="s">
        <v>1522</v>
      </c>
      <c r="C93" s="1011"/>
      <c r="D93" s="1011"/>
      <c r="E93" s="1031"/>
      <c r="F93" s="1037"/>
      <c r="G93" s="1036">
        <v>6.5</v>
      </c>
      <c r="H93" s="1036"/>
      <c r="I93" s="1036"/>
      <c r="J93" s="1016"/>
      <c r="K93" s="1031"/>
      <c r="L93" s="1036"/>
      <c r="M93" s="1036"/>
      <c r="N93" s="1036"/>
      <c r="O93" s="1039" t="s">
        <v>1520</v>
      </c>
      <c r="P93" s="1207"/>
      <c r="Q93" s="1258"/>
      <c r="R93" s="1258"/>
      <c r="S93" s="1258"/>
      <c r="T93" s="1214">
        <f t="shared" si="4"/>
        <v>0</v>
      </c>
      <c r="U93" s="1258"/>
      <c r="V93" s="1258"/>
      <c r="W93" s="1258"/>
      <c r="X93" s="1259"/>
      <c r="Y93" s="1259"/>
      <c r="Z93" s="1038">
        <v>6.5</v>
      </c>
      <c r="AA93" s="1036"/>
      <c r="AB93" s="1036"/>
      <c r="AC93" s="1260"/>
      <c r="AD93" s="1260"/>
      <c r="AE93" s="1260"/>
      <c r="AF93" s="1260"/>
      <c r="AG93" s="1260"/>
      <c r="AH93" s="1260"/>
      <c r="AI93" s="1260"/>
      <c r="AJ93" s="1260"/>
      <c r="AK93" s="1036"/>
      <c r="AL93" s="1036"/>
      <c r="AM93" s="1261"/>
      <c r="AN93" s="1259"/>
      <c r="AO93" s="1259"/>
      <c r="AP93" s="1259"/>
      <c r="AQ93" s="1214">
        <f t="shared" si="5"/>
        <v>0</v>
      </c>
      <c r="AR93" s="1259"/>
      <c r="AS93" s="1259"/>
      <c r="AT93" s="1259"/>
      <c r="AU93" s="1259"/>
      <c r="AV93" s="1259"/>
      <c r="AW93" s="1038">
        <v>6.5</v>
      </c>
      <c r="AX93" s="1036"/>
      <c r="AY93" s="1259"/>
      <c r="AZ93" s="1642"/>
      <c r="BA93" s="1644"/>
    </row>
    <row r="94" spans="1:53" ht="31" outlineLevel="1" x14ac:dyDescent="0.25">
      <c r="A94" s="1011">
        <v>5</v>
      </c>
      <c r="B94" s="1169" t="s">
        <v>1521</v>
      </c>
      <c r="C94" s="1011"/>
      <c r="D94" s="1011"/>
      <c r="E94" s="1031"/>
      <c r="F94" s="1037"/>
      <c r="G94" s="1036">
        <v>1</v>
      </c>
      <c r="H94" s="1036"/>
      <c r="I94" s="1036"/>
      <c r="J94" s="1016"/>
      <c r="K94" s="1031"/>
      <c r="L94" s="1036"/>
      <c r="M94" s="1036"/>
      <c r="N94" s="1036"/>
      <c r="O94" s="1039" t="s">
        <v>1520</v>
      </c>
      <c r="P94" s="1207"/>
      <c r="Q94" s="1258"/>
      <c r="R94" s="1258"/>
      <c r="S94" s="1258"/>
      <c r="T94" s="1214">
        <f t="shared" si="4"/>
        <v>0</v>
      </c>
      <c r="U94" s="1258"/>
      <c r="V94" s="1258"/>
      <c r="W94" s="1258"/>
      <c r="X94" s="1259"/>
      <c r="Y94" s="1259"/>
      <c r="Z94" s="1038">
        <v>1</v>
      </c>
      <c r="AA94" s="1036"/>
      <c r="AB94" s="1036"/>
      <c r="AC94" s="1260"/>
      <c r="AD94" s="1260"/>
      <c r="AE94" s="1260"/>
      <c r="AF94" s="1260"/>
      <c r="AG94" s="1260"/>
      <c r="AH94" s="1260"/>
      <c r="AI94" s="1260"/>
      <c r="AJ94" s="1260"/>
      <c r="AK94" s="1036"/>
      <c r="AL94" s="1036"/>
      <c r="AM94" s="1261"/>
      <c r="AN94" s="1259"/>
      <c r="AO94" s="1259"/>
      <c r="AP94" s="1259"/>
      <c r="AQ94" s="1214">
        <f t="shared" si="5"/>
        <v>0</v>
      </c>
      <c r="AR94" s="1259"/>
      <c r="AS94" s="1259"/>
      <c r="AT94" s="1259"/>
      <c r="AU94" s="1259"/>
      <c r="AV94" s="1259"/>
      <c r="AW94" s="1038">
        <v>1</v>
      </c>
      <c r="AX94" s="1036"/>
      <c r="AY94" s="1259"/>
      <c r="AZ94" s="1642"/>
      <c r="BA94" s="1644"/>
    </row>
    <row r="95" spans="1:53" s="1253" customFormat="1" outlineLevel="1" x14ac:dyDescent="0.25">
      <c r="A95" s="1044"/>
      <c r="B95" s="1040"/>
      <c r="C95" s="1044"/>
      <c r="D95" s="1044"/>
      <c r="E95" s="1041"/>
      <c r="F95" s="1043"/>
      <c r="G95" s="1040"/>
      <c r="H95" s="1040"/>
      <c r="I95" s="1040"/>
      <c r="J95" s="1042"/>
      <c r="K95" s="1041"/>
      <c r="L95" s="1040"/>
      <c r="M95" s="1040"/>
      <c r="N95" s="1040"/>
      <c r="O95" s="1040"/>
      <c r="P95" s="1255"/>
      <c r="Q95" s="1256"/>
      <c r="R95" s="1256"/>
      <c r="S95" s="1256"/>
      <c r="T95" s="1214">
        <f t="shared" si="4"/>
        <v>0</v>
      </c>
      <c r="U95" s="1256"/>
      <c r="V95" s="1256"/>
      <c r="W95" s="1256"/>
      <c r="X95" s="1040"/>
      <c r="Y95" s="1040"/>
      <c r="Z95" s="1254"/>
      <c r="AA95" s="1254"/>
      <c r="AB95" s="1254"/>
      <c r="AC95" s="1257"/>
      <c r="AD95" s="1257"/>
      <c r="AE95" s="1257"/>
      <c r="AF95" s="1257"/>
      <c r="AG95" s="1257"/>
      <c r="AH95" s="1257"/>
      <c r="AI95" s="1257"/>
      <c r="AJ95" s="1257"/>
      <c r="AK95" s="1257"/>
      <c r="AL95" s="1257"/>
      <c r="AM95" s="1255"/>
      <c r="AN95" s="1254"/>
      <c r="AO95" s="1254"/>
      <c r="AP95" s="1254"/>
      <c r="AQ95" s="1214">
        <f t="shared" si="5"/>
        <v>0</v>
      </c>
      <c r="AR95" s="1040"/>
      <c r="AS95" s="1040"/>
      <c r="AT95" s="1040"/>
      <c r="AU95" s="1040"/>
      <c r="AV95" s="1040"/>
      <c r="AW95" s="1254"/>
      <c r="AX95" s="1254"/>
      <c r="AY95" s="1254"/>
      <c r="AZ95" s="1642"/>
      <c r="BA95" s="1644"/>
    </row>
    <row r="96" spans="1:53" outlineLevel="1" x14ac:dyDescent="0.25">
      <c r="B96" s="1172" t="s">
        <v>1519</v>
      </c>
      <c r="J96" s="1021"/>
      <c r="T96" s="1214">
        <f t="shared" si="4"/>
        <v>0</v>
      </c>
      <c r="X96" s="1188"/>
      <c r="Y96" s="1188"/>
      <c r="Z96" s="1013"/>
      <c r="AA96" s="1013"/>
      <c r="AB96" s="1013"/>
      <c r="AI96" s="1186"/>
      <c r="AJ96" s="1186"/>
      <c r="AK96" s="1013"/>
      <c r="AL96" s="1013"/>
      <c r="AQ96" s="1214">
        <f t="shared" si="5"/>
        <v>0</v>
      </c>
      <c r="AU96" s="1188"/>
      <c r="AV96" s="1188"/>
      <c r="AW96" s="1013"/>
      <c r="AX96" s="1013"/>
    </row>
    <row r="97" spans="1:53" ht="62" x14ac:dyDescent="0.25">
      <c r="A97" s="1011">
        <v>1</v>
      </c>
      <c r="B97" s="1169" t="s">
        <v>1518</v>
      </c>
      <c r="C97" s="1011"/>
      <c r="D97" s="1011"/>
      <c r="E97" s="1031"/>
      <c r="F97" s="1037"/>
      <c r="G97" s="1036">
        <v>50</v>
      </c>
      <c r="H97" s="1036"/>
      <c r="I97" s="1036"/>
      <c r="J97" s="1016"/>
      <c r="K97" s="1031"/>
      <c r="L97" s="1036"/>
      <c r="M97" s="1036"/>
      <c r="N97" s="1036"/>
      <c r="O97" s="1039" t="s">
        <v>1517</v>
      </c>
      <c r="P97" s="1207"/>
      <c r="Q97" s="1258"/>
      <c r="R97" s="1258"/>
      <c r="S97" s="1258"/>
      <c r="T97" s="1214">
        <f t="shared" si="4"/>
        <v>0</v>
      </c>
      <c r="U97" s="1258"/>
      <c r="V97" s="1258"/>
      <c r="W97" s="1258"/>
      <c r="X97" s="1259"/>
      <c r="Y97" s="1259"/>
      <c r="Z97" s="1038">
        <v>50</v>
      </c>
      <c r="AA97" s="1036">
        <v>0</v>
      </c>
      <c r="AB97" s="1036"/>
      <c r="AC97" s="1260"/>
      <c r="AD97" s="1260"/>
      <c r="AE97" s="1260"/>
      <c r="AF97" s="1260"/>
      <c r="AG97" s="1260"/>
      <c r="AH97" s="1260"/>
      <c r="AI97" s="1260"/>
      <c r="AJ97" s="1260"/>
      <c r="AK97" s="1036"/>
      <c r="AL97" s="1036"/>
      <c r="AM97" s="1261"/>
      <c r="AN97" s="1259"/>
      <c r="AO97" s="1259"/>
      <c r="AP97" s="1259"/>
      <c r="AQ97" s="1214">
        <f t="shared" si="5"/>
        <v>0</v>
      </c>
      <c r="AR97" s="1259"/>
      <c r="AS97" s="1259"/>
      <c r="AT97" s="1259"/>
      <c r="AU97" s="1259"/>
      <c r="AV97" s="1259"/>
      <c r="AW97" s="1038">
        <v>50</v>
      </c>
      <c r="AX97" s="1036">
        <v>0</v>
      </c>
      <c r="AY97" s="1259"/>
      <c r="AZ97" s="1016" t="s">
        <v>1516</v>
      </c>
      <c r="BA97" s="1011" t="s">
        <v>909</v>
      </c>
    </row>
    <row r="98" spans="1:53" x14ac:dyDescent="0.25">
      <c r="A98" s="1011"/>
      <c r="B98" s="1012" t="s">
        <v>931</v>
      </c>
      <c r="C98" s="1011"/>
      <c r="D98" s="1011"/>
      <c r="E98" s="1031"/>
      <c r="F98" s="1037"/>
      <c r="G98" s="1036"/>
      <c r="H98" s="1036"/>
      <c r="I98" s="1032"/>
      <c r="J98" s="1032"/>
      <c r="K98" s="1031"/>
      <c r="L98" s="1036"/>
      <c r="M98" s="1036"/>
      <c r="N98" s="1036"/>
      <c r="O98" s="1036"/>
      <c r="P98" s="1207"/>
      <c r="Q98" s="1258"/>
      <c r="R98" s="1258"/>
      <c r="S98" s="1258"/>
      <c r="T98" s="1214">
        <f t="shared" si="4"/>
        <v>0</v>
      </c>
      <c r="U98" s="1258"/>
      <c r="V98" s="1258"/>
      <c r="W98" s="1258"/>
      <c r="X98" s="1258"/>
      <c r="Y98" s="1258"/>
      <c r="Z98" s="1258"/>
      <c r="AA98" s="1258"/>
      <c r="AB98" s="1273"/>
      <c r="AC98" s="1260"/>
      <c r="AD98" s="1260"/>
      <c r="AE98" s="1260"/>
      <c r="AF98" s="1260"/>
      <c r="AG98" s="1260"/>
      <c r="AH98" s="1260"/>
      <c r="AI98" s="1258"/>
      <c r="AJ98" s="1258"/>
      <c r="AK98" s="1258"/>
      <c r="AL98" s="1258"/>
      <c r="AM98" s="1261"/>
      <c r="AN98" s="1259"/>
      <c r="AO98" s="1259"/>
      <c r="AP98" s="1259"/>
      <c r="AQ98" s="1214">
        <f t="shared" si="5"/>
        <v>0</v>
      </c>
      <c r="AR98" s="1259"/>
      <c r="AS98" s="1259"/>
      <c r="AT98" s="1259"/>
      <c r="AU98" s="1258"/>
      <c r="AV98" s="1258"/>
      <c r="AW98" s="1258"/>
      <c r="AX98" s="1258"/>
      <c r="AY98" s="1259"/>
      <c r="AZ98" s="1036"/>
      <c r="BA98" s="1011"/>
    </row>
    <row r="99" spans="1:53" outlineLevel="1" x14ac:dyDescent="0.25">
      <c r="A99" s="1160">
        <v>1</v>
      </c>
      <c r="B99" s="1035" t="s">
        <v>260</v>
      </c>
      <c r="C99" s="1219" t="s">
        <v>905</v>
      </c>
      <c r="D99" s="1160" t="s">
        <v>909</v>
      </c>
      <c r="E99" s="1220"/>
      <c r="F99" s="1037"/>
      <c r="G99" s="1033"/>
      <c r="H99" s="1033"/>
      <c r="I99" s="1032"/>
      <c r="J99" s="1032"/>
      <c r="K99" s="1031"/>
      <c r="L99" s="1030"/>
      <c r="M99" s="1030"/>
      <c r="N99" s="1030"/>
      <c r="O99" s="1030"/>
      <c r="P99" s="1207"/>
      <c r="Q99" s="1233">
        <v>0.20626306699999999</v>
      </c>
      <c r="R99" s="1233">
        <v>0.173573953</v>
      </c>
      <c r="S99" s="1233">
        <v>0.166334238</v>
      </c>
      <c r="T99" s="1214">
        <f t="shared" si="4"/>
        <v>0.54617125799999999</v>
      </c>
      <c r="U99" s="1229">
        <v>1.4272198000000002E-2</v>
      </c>
      <c r="V99" s="1229">
        <v>0.10329479899999999</v>
      </c>
      <c r="W99" s="1229"/>
      <c r="X99" s="1229"/>
      <c r="Y99" s="1229"/>
      <c r="Z99" s="1229"/>
      <c r="AA99" s="1229"/>
      <c r="AB99" s="1231"/>
      <c r="AC99" s="1232"/>
      <c r="AD99" s="1232"/>
      <c r="AE99" s="1232"/>
      <c r="AF99" s="1232"/>
      <c r="AG99" s="1232"/>
      <c r="AH99" s="1232"/>
      <c r="AI99" s="1229"/>
      <c r="AJ99" s="1229"/>
      <c r="AK99" s="1229"/>
      <c r="AL99" s="1229"/>
      <c r="AM99" s="1207"/>
      <c r="AN99" s="1233">
        <v>0.20626306699999999</v>
      </c>
      <c r="AO99" s="1233">
        <v>0.173573953</v>
      </c>
      <c r="AP99" s="1233">
        <v>0.166334238</v>
      </c>
      <c r="AQ99" s="1214">
        <f t="shared" si="5"/>
        <v>0.54617125799999999</v>
      </c>
      <c r="AR99" s="1233">
        <f>0.014272198+0.01</f>
        <v>2.4272198000000002E-2</v>
      </c>
      <c r="AS99" s="1233">
        <v>0.13</v>
      </c>
      <c r="AT99" s="1233"/>
      <c r="AU99" s="1229"/>
      <c r="AV99" s="1229"/>
      <c r="AW99" s="1229"/>
      <c r="AX99" s="1229"/>
      <c r="AY99" s="1233"/>
      <c r="AZ99" s="1030"/>
      <c r="BA99" s="1248"/>
    </row>
    <row r="100" spans="1:53" outlineLevel="1" x14ac:dyDescent="0.25">
      <c r="A100" s="1160">
        <v>2</v>
      </c>
      <c r="B100" s="1034" t="s">
        <v>259</v>
      </c>
      <c r="C100" s="1219" t="s">
        <v>905</v>
      </c>
      <c r="D100" s="1160" t="s">
        <v>909</v>
      </c>
      <c r="E100" s="1220"/>
      <c r="F100" s="1037"/>
      <c r="G100" s="1033"/>
      <c r="H100" s="1033"/>
      <c r="I100" s="1032"/>
      <c r="J100" s="1032"/>
      <c r="K100" s="1031"/>
      <c r="L100" s="1030"/>
      <c r="M100" s="1030"/>
      <c r="N100" s="1030"/>
      <c r="O100" s="1030"/>
      <c r="P100" s="1207"/>
      <c r="Q100" s="1233">
        <v>5.7560400000000005E-3</v>
      </c>
      <c r="R100" s="1233">
        <v>0</v>
      </c>
      <c r="S100" s="1233">
        <v>0</v>
      </c>
      <c r="T100" s="1214">
        <f t="shared" si="4"/>
        <v>5.7560400000000005E-3</v>
      </c>
      <c r="U100" s="1229"/>
      <c r="V100" s="1229">
        <v>2.9992059999999997E-2</v>
      </c>
      <c r="W100" s="1229"/>
      <c r="X100" s="1229"/>
      <c r="Y100" s="1229"/>
      <c r="Z100" s="1229"/>
      <c r="AA100" s="1229"/>
      <c r="AB100" s="1231"/>
      <c r="AC100" s="1232"/>
      <c r="AD100" s="1232"/>
      <c r="AE100" s="1232"/>
      <c r="AF100" s="1232"/>
      <c r="AG100" s="1232"/>
      <c r="AH100" s="1232"/>
      <c r="AI100" s="1229"/>
      <c r="AJ100" s="1229"/>
      <c r="AK100" s="1229"/>
      <c r="AL100" s="1229"/>
      <c r="AM100" s="1207"/>
      <c r="AN100" s="1233">
        <f>57560.4/10000000</f>
        <v>5.7560400000000005E-3</v>
      </c>
      <c r="AO100" s="1233">
        <v>0</v>
      </c>
      <c r="AP100" s="1233">
        <v>0</v>
      </c>
      <c r="AQ100" s="1214">
        <f t="shared" si="5"/>
        <v>5.7560400000000005E-3</v>
      </c>
      <c r="AR100" s="1233"/>
      <c r="AS100" s="1233">
        <v>2.9992059999999997E-2</v>
      </c>
      <c r="AT100" s="1233"/>
      <c r="AU100" s="1229"/>
      <c r="AV100" s="1229"/>
      <c r="AW100" s="1229"/>
      <c r="AX100" s="1229"/>
      <c r="AY100" s="1233"/>
      <c r="AZ100" s="1030"/>
      <c r="BA100" s="1248"/>
    </row>
    <row r="101" spans="1:53" ht="46.5" outlineLevel="1" x14ac:dyDescent="0.25">
      <c r="A101" s="1160">
        <v>3</v>
      </c>
      <c r="B101" s="1169" t="s">
        <v>1515</v>
      </c>
      <c r="C101" s="1219" t="s">
        <v>905</v>
      </c>
      <c r="D101" s="1160" t="s">
        <v>909</v>
      </c>
      <c r="E101" s="1220"/>
      <c r="F101" s="1037"/>
      <c r="G101" s="1033"/>
      <c r="H101" s="1033"/>
      <c r="I101" s="1032"/>
      <c r="J101" s="1032"/>
      <c r="K101" s="1031"/>
      <c r="L101" s="1030"/>
      <c r="M101" s="1030"/>
      <c r="N101" s="1030"/>
      <c r="O101" s="1030"/>
      <c r="P101" s="1207"/>
      <c r="Q101" s="1229"/>
      <c r="R101" s="1229"/>
      <c r="S101" s="1229"/>
      <c r="T101" s="1214">
        <f t="shared" si="4"/>
        <v>0</v>
      </c>
      <c r="U101" s="1229"/>
      <c r="V101" s="1229">
        <f>2283001.6/10000000</f>
        <v>0.22830016</v>
      </c>
      <c r="W101" s="1229"/>
      <c r="X101" s="1229"/>
      <c r="Y101" s="1229"/>
      <c r="Z101" s="1229"/>
      <c r="AA101" s="1229"/>
      <c r="AB101" s="1231"/>
      <c r="AC101" s="1232"/>
      <c r="AD101" s="1232"/>
      <c r="AE101" s="1232"/>
      <c r="AF101" s="1232"/>
      <c r="AG101" s="1232"/>
      <c r="AH101" s="1232"/>
      <c r="AI101" s="1229"/>
      <c r="AJ101" s="1229"/>
      <c r="AK101" s="1229"/>
      <c r="AL101" s="1229"/>
      <c r="AM101" s="1207"/>
      <c r="AN101" s="1233"/>
      <c r="AO101" s="1233"/>
      <c r="AP101" s="1233"/>
      <c r="AQ101" s="1214">
        <f t="shared" si="5"/>
        <v>0</v>
      </c>
      <c r="AR101" s="1233"/>
      <c r="AS101" s="1233">
        <v>0.22830016</v>
      </c>
      <c r="AT101" s="1233"/>
      <c r="AU101" s="1229"/>
      <c r="AV101" s="1229"/>
      <c r="AW101" s="1229"/>
      <c r="AX101" s="1229"/>
      <c r="AY101" s="1233"/>
      <c r="AZ101" s="1030"/>
      <c r="BA101" s="1248" t="s">
        <v>906</v>
      </c>
    </row>
    <row r="102" spans="1:53" outlineLevel="1" x14ac:dyDescent="0.25">
      <c r="A102" s="1160">
        <v>4</v>
      </c>
      <c r="B102" s="1169" t="s">
        <v>1514</v>
      </c>
      <c r="C102" s="1219"/>
      <c r="D102" s="1160"/>
      <c r="E102" s="1220"/>
      <c r="F102" s="1037"/>
      <c r="G102" s="1033"/>
      <c r="H102" s="1033"/>
      <c r="I102" s="1032"/>
      <c r="J102" s="1032"/>
      <c r="K102" s="1031"/>
      <c r="L102" s="1030"/>
      <c r="M102" s="1030"/>
      <c r="N102" s="1030"/>
      <c r="O102" s="1030"/>
      <c r="P102" s="1207"/>
      <c r="Q102" s="1229"/>
      <c r="R102" s="1229"/>
      <c r="S102" s="1229"/>
      <c r="T102" s="1214">
        <f t="shared" si="4"/>
        <v>0</v>
      </c>
      <c r="U102" s="1229">
        <v>4.0077621479999994</v>
      </c>
      <c r="V102" s="1229"/>
      <c r="W102" s="1229"/>
      <c r="X102" s="1229"/>
      <c r="Y102" s="1229"/>
      <c r="Z102" s="1229"/>
      <c r="AA102" s="1229"/>
      <c r="AB102" s="1231"/>
      <c r="AC102" s="1232"/>
      <c r="AD102" s="1232"/>
      <c r="AE102" s="1232"/>
      <c r="AF102" s="1232"/>
      <c r="AG102" s="1232"/>
      <c r="AH102" s="1232"/>
      <c r="AI102" s="1229"/>
      <c r="AJ102" s="1229"/>
      <c r="AK102" s="1229"/>
      <c r="AL102" s="1229"/>
      <c r="AM102" s="1207"/>
      <c r="AN102" s="1233"/>
      <c r="AO102" s="1233"/>
      <c r="AP102" s="1233"/>
      <c r="AQ102" s="1214">
        <f t="shared" si="5"/>
        <v>0</v>
      </c>
      <c r="AR102" s="1233">
        <v>4.0077621479999994</v>
      </c>
      <c r="AS102" s="1233"/>
      <c r="AT102" s="1233"/>
      <c r="AU102" s="1229"/>
      <c r="AV102" s="1229"/>
      <c r="AW102" s="1229"/>
      <c r="AX102" s="1229"/>
      <c r="AY102" s="1233"/>
      <c r="AZ102" s="1030"/>
      <c r="BA102" s="1248"/>
    </row>
    <row r="103" spans="1:53" x14ac:dyDescent="0.25">
      <c r="A103" s="1026"/>
      <c r="B103" s="1027" t="s">
        <v>271</v>
      </c>
      <c r="C103" s="1026"/>
      <c r="D103" s="1026"/>
      <c r="E103" s="1028"/>
      <c r="F103" s="1029"/>
      <c r="G103" s="1027"/>
      <c r="H103" s="1027"/>
      <c r="I103" s="1027"/>
      <c r="J103" s="1027"/>
      <c r="K103" s="1028"/>
      <c r="L103" s="1027"/>
      <c r="M103" s="1027"/>
      <c r="N103" s="1027"/>
      <c r="O103" s="1027"/>
      <c r="P103" s="1204">
        <f t="shared" ref="P103:AA103" si="6">SUM(P10:P102)</f>
        <v>1.7767362</v>
      </c>
      <c r="Q103" s="1274">
        <f t="shared" si="6"/>
        <v>2.082803696</v>
      </c>
      <c r="R103" s="1274">
        <f t="shared" si="6"/>
        <v>0.33818986900000003</v>
      </c>
      <c r="S103" s="1274">
        <f t="shared" si="6"/>
        <v>0.8324165360000001</v>
      </c>
      <c r="T103" s="1274">
        <f t="shared" si="6"/>
        <v>5.0301463009999994</v>
      </c>
      <c r="U103" s="1274">
        <f t="shared" si="6"/>
        <v>7.794833345999999</v>
      </c>
      <c r="V103" s="1274">
        <f t="shared" si="6"/>
        <v>3.4897814380000001</v>
      </c>
      <c r="W103" s="1274">
        <f t="shared" si="6"/>
        <v>45.164850000000001</v>
      </c>
      <c r="X103" s="1274">
        <f t="shared" si="6"/>
        <v>112.81025</v>
      </c>
      <c r="Y103" s="1274">
        <f t="shared" si="6"/>
        <v>68</v>
      </c>
      <c r="Z103" s="1274">
        <f t="shared" si="6"/>
        <v>68.5</v>
      </c>
      <c r="AA103" s="1274">
        <f t="shared" si="6"/>
        <v>0</v>
      </c>
      <c r="AB103" s="1275"/>
      <c r="AC103" s="1276"/>
      <c r="AD103" s="1276"/>
      <c r="AE103" s="1276"/>
      <c r="AF103" s="1276"/>
      <c r="AG103" s="1276"/>
      <c r="AH103" s="1276"/>
      <c r="AI103" s="1274"/>
      <c r="AJ103" s="1274"/>
      <c r="AK103" s="1274"/>
      <c r="AL103" s="1274"/>
      <c r="AM103" s="1204">
        <f t="shared" ref="AM103:AY103" si="7">SUM(AM10:AM102)</f>
        <v>1.7767362</v>
      </c>
      <c r="AN103" s="1277">
        <f t="shared" si="7"/>
        <v>2.082803696</v>
      </c>
      <c r="AO103" s="1277">
        <f t="shared" si="7"/>
        <v>0.33818986900000003</v>
      </c>
      <c r="AP103" s="1277">
        <f t="shared" si="7"/>
        <v>0.8324165360000001</v>
      </c>
      <c r="AQ103" s="1277">
        <f t="shared" si="7"/>
        <v>5.0301463009999994</v>
      </c>
      <c r="AR103" s="1277">
        <f t="shared" si="7"/>
        <v>8.2948333460000008</v>
      </c>
      <c r="AS103" s="1277">
        <f t="shared" si="7"/>
        <v>3.62318052</v>
      </c>
      <c r="AT103" s="1277">
        <f t="shared" si="7"/>
        <v>45.164850000000001</v>
      </c>
      <c r="AU103" s="1277">
        <f t="shared" si="7"/>
        <v>112.81025</v>
      </c>
      <c r="AV103" s="1277">
        <f t="shared" si="7"/>
        <v>68</v>
      </c>
      <c r="AW103" s="1277">
        <f t="shared" si="7"/>
        <v>68.5</v>
      </c>
      <c r="AX103" s="1277">
        <f t="shared" si="7"/>
        <v>0</v>
      </c>
      <c r="AY103" s="1277">
        <f t="shared" si="7"/>
        <v>0</v>
      </c>
      <c r="AZ103" s="1027"/>
      <c r="BA103" s="1026"/>
    </row>
    <row r="104" spans="1:53" x14ac:dyDescent="0.25">
      <c r="AN104" s="1278"/>
      <c r="AO104" s="1278"/>
      <c r="AP104" s="1278"/>
      <c r="AQ104" s="1278"/>
    </row>
    <row r="105" spans="1:53" x14ac:dyDescent="0.35">
      <c r="R105" s="1279"/>
      <c r="AN105" s="1280"/>
      <c r="AO105" s="1281"/>
      <c r="AP105" s="1281"/>
      <c r="AQ105" s="1281"/>
    </row>
    <row r="106" spans="1:53" x14ac:dyDescent="0.25">
      <c r="AR106" s="1188">
        <f>SUM(AR99:AR102)</f>
        <v>4.0320343459999997</v>
      </c>
      <c r="AS106" s="1188">
        <f t="shared" ref="AS106:AT106" si="8">SUM(AS99:AS102)</f>
        <v>0.38829221999999997</v>
      </c>
      <c r="AT106" s="1188">
        <f t="shared" si="8"/>
        <v>0</v>
      </c>
    </row>
  </sheetData>
  <mergeCells count="40">
    <mergeCell ref="BA49:BA52"/>
    <mergeCell ref="AZ54:AZ61"/>
    <mergeCell ref="BA54:BA61"/>
    <mergeCell ref="AZ63:AZ65"/>
    <mergeCell ref="BA63:BA65"/>
    <mergeCell ref="AZ49:AZ52"/>
    <mergeCell ref="AZ90:AZ95"/>
    <mergeCell ref="BA90:BA95"/>
    <mergeCell ref="AZ68:AZ72"/>
    <mergeCell ref="BA68:BA72"/>
    <mergeCell ref="AZ73:AZ79"/>
    <mergeCell ref="BA73:BA79"/>
    <mergeCell ref="AZ81:AZ86"/>
    <mergeCell ref="BA81:BA86"/>
    <mergeCell ref="A4:A6"/>
    <mergeCell ref="B4:B6"/>
    <mergeCell ref="C4:C6"/>
    <mergeCell ref="D4:D6"/>
    <mergeCell ref="E4:E6"/>
    <mergeCell ref="F4:F6"/>
    <mergeCell ref="M4:M6"/>
    <mergeCell ref="N4:N6"/>
    <mergeCell ref="O4:O6"/>
    <mergeCell ref="P4:W4"/>
    <mergeCell ref="G4:G6"/>
    <mergeCell ref="H4:H6"/>
    <mergeCell ref="I4:I6"/>
    <mergeCell ref="J4:J6"/>
    <mergeCell ref="K4:K6"/>
    <mergeCell ref="AB4:AH4"/>
    <mergeCell ref="L4:L6"/>
    <mergeCell ref="AY4:AY6"/>
    <mergeCell ref="AZ4:AZ6"/>
    <mergeCell ref="BA4:BA6"/>
    <mergeCell ref="P5:P6"/>
    <mergeCell ref="AB5:AB6"/>
    <mergeCell ref="AM5:AM6"/>
    <mergeCell ref="AM4:AT4"/>
    <mergeCell ref="AQ5:AQ6"/>
    <mergeCell ref="T5:T6"/>
  </mergeCells>
  <conditionalFormatting sqref="D12:E13 D11 D30:E41">
    <cfRule type="containsText" dxfId="163" priority="39" operator="containsText" text="DPR not submitted">
      <formula>NOT(ISERROR(SEARCH("DPR not submitted",D11)))</formula>
    </cfRule>
    <cfRule type="containsText" dxfId="162" priority="40" operator="containsText" text="Yet to be approved">
      <formula>NOT(ISERROR(SEARCH("Yet to be approved",D11)))</formula>
    </cfRule>
  </conditionalFormatting>
  <conditionalFormatting sqref="D15 D18">
    <cfRule type="containsText" dxfId="161" priority="35" operator="containsText" text="DPR not submitted">
      <formula>NOT(ISERROR(SEARCH("DPR not submitted",D15)))</formula>
    </cfRule>
    <cfRule type="containsText" dxfId="160" priority="36" operator="containsText" text="Yet to be approved">
      <formula>NOT(ISERROR(SEARCH("Yet to be approved",D15)))</formula>
    </cfRule>
  </conditionalFormatting>
  <conditionalFormatting sqref="E15 E18">
    <cfRule type="containsText" dxfId="159" priority="37" operator="containsText" text="DPR not submitted">
      <formula>NOT(ISERROR(SEARCH("DPR not submitted",E15)))</formula>
    </cfRule>
    <cfRule type="containsText" dxfId="158" priority="38" operator="containsText" text="Yet to be approved">
      <formula>NOT(ISERROR(SEARCH("Yet to be approved",E15)))</formula>
    </cfRule>
  </conditionalFormatting>
  <conditionalFormatting sqref="D23:D26">
    <cfRule type="containsText" dxfId="157" priority="31" operator="containsText" text="DPR not submitted">
      <formula>NOT(ISERROR(SEARCH("DPR not submitted",D23)))</formula>
    </cfRule>
    <cfRule type="containsText" dxfId="156" priority="32" operator="containsText" text="Yet to be approved">
      <formula>NOT(ISERROR(SEARCH("Yet to be approved",D23)))</formula>
    </cfRule>
  </conditionalFormatting>
  <conditionalFormatting sqref="E23:E26">
    <cfRule type="containsText" dxfId="155" priority="33" operator="containsText" text="DPR not submitted">
      <formula>NOT(ISERROR(SEARCH("DPR not submitted",E23)))</formula>
    </cfRule>
    <cfRule type="containsText" dxfId="154" priority="34" operator="containsText" text="Yet to be approved">
      <formula>NOT(ISERROR(SEARCH("Yet to be approved",E23)))</formula>
    </cfRule>
  </conditionalFormatting>
  <conditionalFormatting sqref="D28">
    <cfRule type="containsText" dxfId="153" priority="27" operator="containsText" text="DPR not submitted">
      <formula>NOT(ISERROR(SEARCH("DPR not submitted",D28)))</formula>
    </cfRule>
    <cfRule type="containsText" dxfId="152" priority="28" operator="containsText" text="Yet to be approved">
      <formula>NOT(ISERROR(SEARCH("Yet to be approved",D28)))</formula>
    </cfRule>
  </conditionalFormatting>
  <conditionalFormatting sqref="E28">
    <cfRule type="containsText" dxfId="151" priority="29" operator="containsText" text="DPR not submitted">
      <formula>NOT(ISERROR(SEARCH("DPR not submitted",E28)))</formula>
    </cfRule>
    <cfRule type="containsText" dxfId="150" priority="30" operator="containsText" text="Yet to be approved">
      <formula>NOT(ISERROR(SEARCH("Yet to be approved",E28)))</formula>
    </cfRule>
  </conditionalFormatting>
  <conditionalFormatting sqref="D99:D100">
    <cfRule type="containsText" dxfId="149" priority="23" operator="containsText" text="DPR not submitted">
      <formula>NOT(ISERROR(SEARCH("DPR not submitted",D99)))</formula>
    </cfRule>
    <cfRule type="containsText" dxfId="148" priority="24" operator="containsText" text="Yet to be approved">
      <formula>NOT(ISERROR(SEARCH("Yet to be approved",D99)))</formula>
    </cfRule>
  </conditionalFormatting>
  <conditionalFormatting sqref="E99:E100">
    <cfRule type="containsText" dxfId="147" priority="25" operator="containsText" text="DPR not submitted">
      <formula>NOT(ISERROR(SEARCH("DPR not submitted",E99)))</formula>
    </cfRule>
    <cfRule type="containsText" dxfId="146" priority="26" operator="containsText" text="Yet to be approved">
      <formula>NOT(ISERROR(SEARCH("Yet to be approved",E99)))</formula>
    </cfRule>
  </conditionalFormatting>
  <conditionalFormatting sqref="D10">
    <cfRule type="containsText" dxfId="145" priority="21" operator="containsText" text="DPR not submitted">
      <formula>NOT(ISERROR(SEARCH("DPR not submitted",D10)))</formula>
    </cfRule>
    <cfRule type="containsText" dxfId="144" priority="22" operator="containsText" text="Yet to be approved">
      <formula>NOT(ISERROR(SEARCH("Yet to be approved",D10)))</formula>
    </cfRule>
  </conditionalFormatting>
  <conditionalFormatting sqref="D14">
    <cfRule type="containsText" dxfId="143" priority="19" operator="containsText" text="DPR not submitted">
      <formula>NOT(ISERROR(SEARCH("DPR not submitted",D14)))</formula>
    </cfRule>
    <cfRule type="containsText" dxfId="142" priority="20" operator="containsText" text="Yet to be approved">
      <formula>NOT(ISERROR(SEARCH("Yet to be approved",D14)))</formula>
    </cfRule>
  </conditionalFormatting>
  <conditionalFormatting sqref="D22">
    <cfRule type="containsText" dxfId="141" priority="17" operator="containsText" text="DPR not submitted">
      <formula>NOT(ISERROR(SEARCH("DPR not submitted",D22)))</formula>
    </cfRule>
    <cfRule type="containsText" dxfId="140" priority="18" operator="containsText" text="Yet to be approved">
      <formula>NOT(ISERROR(SEARCH("Yet to be approved",D22)))</formula>
    </cfRule>
  </conditionalFormatting>
  <conditionalFormatting sqref="D27">
    <cfRule type="containsText" dxfId="139" priority="15" operator="containsText" text="DPR not submitted">
      <formula>NOT(ISERROR(SEARCH("DPR not submitted",D27)))</formula>
    </cfRule>
    <cfRule type="containsText" dxfId="138" priority="16" operator="containsText" text="Yet to be approved">
      <formula>NOT(ISERROR(SEARCH("Yet to be approved",D27)))</formula>
    </cfRule>
  </conditionalFormatting>
  <conditionalFormatting sqref="D29">
    <cfRule type="containsText" dxfId="137" priority="13" operator="containsText" text="DPR not submitted">
      <formula>NOT(ISERROR(SEARCH("DPR not submitted",D29)))</formula>
    </cfRule>
    <cfRule type="containsText" dxfId="136" priority="14" operator="containsText" text="Yet to be approved">
      <formula>NOT(ISERROR(SEARCH("Yet to be approved",D29)))</formula>
    </cfRule>
  </conditionalFormatting>
  <conditionalFormatting sqref="E11">
    <cfRule type="containsText" dxfId="135" priority="11" operator="containsText" text="DPR not submitted">
      <formula>NOT(ISERROR(SEARCH("DPR not submitted",E11)))</formula>
    </cfRule>
    <cfRule type="containsText" dxfId="134" priority="12" operator="containsText" text="Yet to be approved">
      <formula>NOT(ISERROR(SEARCH("Yet to be approved",E11)))</formula>
    </cfRule>
  </conditionalFormatting>
  <conditionalFormatting sqref="D99:E100">
    <cfRule type="containsText" dxfId="133" priority="9" operator="containsText" text="DPR not submitted">
      <formula>NOT(ISERROR(SEARCH("DPR not submitted",D99)))</formula>
    </cfRule>
    <cfRule type="containsText" dxfId="132" priority="10" operator="containsText" text="Yet to be approved">
      <formula>NOT(ISERROR(SEARCH("Yet to be approved",D99)))</formula>
    </cfRule>
  </conditionalFormatting>
  <conditionalFormatting sqref="D101:D102">
    <cfRule type="containsText" dxfId="131" priority="5" operator="containsText" text="DPR not submitted">
      <formula>NOT(ISERROR(SEARCH("DPR not submitted",D101)))</formula>
    </cfRule>
    <cfRule type="containsText" dxfId="130" priority="6" operator="containsText" text="Yet to be approved">
      <formula>NOT(ISERROR(SEARCH("Yet to be approved",D101)))</formula>
    </cfRule>
  </conditionalFormatting>
  <conditionalFormatting sqref="E101:E102">
    <cfRule type="containsText" dxfId="129" priority="7" operator="containsText" text="DPR not submitted">
      <formula>NOT(ISERROR(SEARCH("DPR not submitted",E101)))</formula>
    </cfRule>
    <cfRule type="containsText" dxfId="128" priority="8" operator="containsText" text="Yet to be approved">
      <formula>NOT(ISERROR(SEARCH("Yet to be approved",E101)))</formula>
    </cfRule>
  </conditionalFormatting>
  <conditionalFormatting sqref="D19">
    <cfRule type="containsText" dxfId="127" priority="1" operator="containsText" text="DPR not submitted">
      <formula>NOT(ISERROR(SEARCH("DPR not submitted",D19)))</formula>
    </cfRule>
    <cfRule type="containsText" dxfId="126" priority="2" operator="containsText" text="Yet to be approved">
      <formula>NOT(ISERROR(SEARCH("Yet to be approved",D19)))</formula>
    </cfRule>
  </conditionalFormatting>
  <conditionalFormatting sqref="E19:E21">
    <cfRule type="containsText" dxfId="125" priority="3" operator="containsText" text="DPR not submitted">
      <formula>NOT(ISERROR(SEARCH("DPR not submitted",E19)))</formula>
    </cfRule>
    <cfRule type="containsText" dxfId="124" priority="4" operator="containsText" text="Yet to be approved">
      <formula>NOT(ISERROR(SEARCH("Yet to be approved",E19)))</formula>
    </cfRule>
  </conditionalFormatting>
  <dataValidations count="2">
    <dataValidation type="list" allowBlank="1" showInputMessage="1" showErrorMessage="1" sqref="WVW1:WVW41 WVW98:WVW1048576 JK98:JK1048576 TG98:TG1048576 ADC98:ADC1048576 AMY98:AMY1048576 AWU98:AWU1048576 BGQ98:BGQ1048576 BQM98:BQM1048576 CAI98:CAI1048576 CKE98:CKE1048576 CUA98:CUA1048576 DDW98:DDW1048576 DNS98:DNS1048576 DXO98:DXO1048576 EHK98:EHK1048576 ERG98:ERG1048576 FBC98:FBC1048576 FKY98:FKY1048576 FUU98:FUU1048576 GEQ98:GEQ1048576 GOM98:GOM1048576 GYI98:GYI1048576 HIE98:HIE1048576 HSA98:HSA1048576 IBW98:IBW1048576 ILS98:ILS1048576 IVO98:IVO1048576 JFK98:JFK1048576 JPG98:JPG1048576 JZC98:JZC1048576 KIY98:KIY1048576 KSU98:KSU1048576 LCQ98:LCQ1048576 LMM98:LMM1048576 LWI98:LWI1048576 MGE98:MGE1048576 MQA98:MQA1048576 MZW98:MZW1048576 NJS98:NJS1048576 NTO98:NTO1048576 ODK98:ODK1048576 ONG98:ONG1048576 OXC98:OXC1048576 PGY98:PGY1048576 PQU98:PQU1048576 QAQ98:QAQ1048576 QKM98:QKM1048576 QUI98:QUI1048576 REE98:REE1048576 ROA98:ROA1048576 RXW98:RXW1048576 SHS98:SHS1048576 SRO98:SRO1048576 TBK98:TBK1048576 TLG98:TLG1048576 TVC98:TVC1048576 UEY98:UEY1048576 UOU98:UOU1048576 UYQ98:UYQ1048576 VIM98:VIM1048576 VSI98:VSI1048576 WCE98:WCE1048576 WMA98:WMA1048576 C1:C1048576 WVK42:WVK97 WLO42:WLO97 WBS42:WBS97 VRW42:VRW97 VIA42:VIA97 UYE42:UYE97 UOI42:UOI97 UEM42:UEM97 TUQ42:TUQ97 TKU42:TKU97 TAY42:TAY97 SRC42:SRC97 SHG42:SHG97 RXK42:RXK97 RNO42:RNO97 RDS42:RDS97 QTW42:QTW97 QKA42:QKA97 QAE42:QAE97 PQI42:PQI97 PGM42:PGM97 OWQ42:OWQ97 OMU42:OMU97 OCY42:OCY97 NTC42:NTC97 NJG42:NJG97 MZK42:MZK97 MPO42:MPO97 MFS42:MFS97 LVW42:LVW97 LMA42:LMA97 LCE42:LCE97 KSI42:KSI97 KIM42:KIM97 JYQ42:JYQ97 JOU42:JOU97 JEY42:JEY97 IVC42:IVC97 ILG42:ILG97 IBK42:IBK97 HRO42:HRO97 HHS42:HHS97 GXW42:GXW97 GOA42:GOA97 GEE42:GEE97 FUI42:FUI97 FKM42:FKM97 FAQ42:FAQ97 EQU42:EQU97 EGY42:EGY97 DXC42:DXC97 DNG42:DNG97 DDK42:DDK97 CTO42:CTO97 CJS42:CJS97 BZW42:BZW97 BQA42:BQA97 BGE42:BGE97 AWI42:AWI97 AMM42:AMM97 ACQ42:ACQ97 SU42:SU97 IY42:IY97 JK1:JK41 TG1:TG41 ADC1:ADC41 AMY1:AMY41 AWU1:AWU41 BGQ1:BGQ41 BQM1:BQM41 CAI1:CAI41 CKE1:CKE41 CUA1:CUA41 DDW1:DDW41 DNS1:DNS41 DXO1:DXO41 EHK1:EHK41 ERG1:ERG41 FBC1:FBC41 FKY1:FKY41 FUU1:FUU41 GEQ1:GEQ41 GOM1:GOM41 GYI1:GYI41 HIE1:HIE41 HSA1:HSA41 IBW1:IBW41 ILS1:ILS41 IVO1:IVO41 JFK1:JFK41 JPG1:JPG41 JZC1:JZC41 KIY1:KIY41 KSU1:KSU41 LCQ1:LCQ41 LMM1:LMM41 LWI1:LWI41 MGE1:MGE41 MQA1:MQA41 MZW1:MZW41 NJS1:NJS41 NTO1:NTO41 ODK1:ODK41 ONG1:ONG41 OXC1:OXC41 PGY1:PGY41 PQU1:PQU41 QAQ1:QAQ41 QKM1:QKM41 QUI1:QUI41 REE1:REE41 ROA1:ROA41 RXW1:RXW41 SHS1:SHS41 SRO1:SRO41 TBK1:TBK41 TLG1:TLG41 TVC1:TVC41 UEY1:UEY41 UOU1:UOU41 UYQ1:UYQ41 VIM1:VIM41 VSI1:VSI41 WCE1:WCE41 WMA1:WMA41" xr:uid="{A9E1B75E-3B45-46DF-8EF1-F4D36C08A556}">
      <formula1>$BB$1:$BB$4</formula1>
    </dataValidation>
    <dataValidation type="list" allowBlank="1" showInputMessage="1" showErrorMessage="1" sqref="BA1:BA73 KU80:KU1048576 UQ80:UQ1048576 AEM80:AEM1048576 AOI80:AOI1048576 AYE80:AYE1048576 BIA80:BIA1048576 BRW80:BRW1048576 CBS80:CBS1048576 CLO80:CLO1048576 CVK80:CVK1048576 DFG80:DFG1048576 DPC80:DPC1048576 DYY80:DYY1048576 EIU80:EIU1048576 ESQ80:ESQ1048576 FCM80:FCM1048576 FMI80:FMI1048576 FWE80:FWE1048576 GGA80:GGA1048576 GPW80:GPW1048576 GZS80:GZS1048576 HJO80:HJO1048576 HTK80:HTK1048576 IDG80:IDG1048576 INC80:INC1048576 IWY80:IWY1048576 JGU80:JGU1048576 JQQ80:JQQ1048576 KAM80:KAM1048576 KKI80:KKI1048576 KUE80:KUE1048576 LEA80:LEA1048576 LNW80:LNW1048576 LXS80:LXS1048576 MHO80:MHO1048576 MRK80:MRK1048576 NBG80:NBG1048576 NLC80:NLC1048576 NUY80:NUY1048576 OEU80:OEU1048576 OOQ80:OOQ1048576 OYM80:OYM1048576 PII80:PII1048576 PSE80:PSE1048576 QCA80:QCA1048576 QLW80:QLW1048576 QVS80:QVS1048576 RFO80:RFO1048576 RPK80:RPK1048576 RZG80:RZG1048576 SJC80:SJC1048576 SSY80:SSY1048576 TCU80:TCU1048576 TMQ80:TMQ1048576 TWM80:TWM1048576 UGI80:UGI1048576 UQE80:UQE1048576 VAA80:VAA1048576 VJW80:VJW1048576 VTS80:VTS1048576 WDO80:WDO1048576 WNK80:WNK1048576 WXG80:WXG1048576 BA80:BA1048576 WXG1:WXG73 WNK1:WNK73 WDO1:WDO73 VTS1:VTS73 VJW1:VJW73 VAA1:VAA73 UQE1:UQE73 UGI1:UGI73 TWM1:TWM73 TMQ1:TMQ73 TCU1:TCU73 SSY1:SSY73 SJC1:SJC73 RZG1:RZG73 RPK1:RPK73 RFO1:RFO73 QVS1:QVS73 QLW1:QLW73 QCA1:QCA73 PSE1:PSE73 PII1:PII73 OYM1:OYM73 OOQ1:OOQ73 OEU1:OEU73 NUY1:NUY73 NLC1:NLC73 NBG1:NBG73 MRK1:MRK73 MHO1:MHO73 LXS1:LXS73 LNW1:LNW73 LEA1:LEA73 KUE1:KUE73 KKI1:KKI73 KAM1:KAM73 JQQ1:JQQ73 JGU1:JGU73 IWY1:IWY73 INC1:INC73 IDG1:IDG73 HTK1:HTK73 HJO1:HJO73 GZS1:GZS73 GPW1:GPW73 GGA1:GGA73 FWE1:FWE73 FMI1:FMI73 FCM1:FCM73 ESQ1:ESQ73 EIU1:EIU73 DYY1:DYY73 DPC1:DPC73 DFG1:DFG73 CVK1:CVK73 CLO1:CLO73 CBS1:CBS73 BRW1:BRW73 BIA1:BIA73 AYE1:AYE73 AOI1:AOI73 AEM1:AEM73 UQ1:UQ73 KU1:KU73" xr:uid="{5B99DEF2-3DF8-439B-8ADC-C5A8157987E1}">
      <formula1>$BC$1:$BC$8</formula1>
    </dataValidation>
  </dataValidations>
  <printOptions horizontalCentered="1"/>
  <pageMargins left="0.27559055118110237" right="0" top="0.23622047244094491" bottom="0.23622047244094491" header="0.23622047244094491" footer="0.23622047244094491"/>
  <pageSetup paperSize="9" scale="48" orientation="landscape" r:id="rId1"/>
  <headerFooter alignWithMargins="0">
    <oddHeader>Page &amp;P&amp;R&amp;F</oddHeader>
  </headerFooter>
  <colBreaks count="2" manualBreakCount="2">
    <brk id="15" max="78" man="1"/>
    <brk id="38" max="78"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691"/>
  <sheetViews>
    <sheetView showGridLines="0" view="pageBreakPreview" zoomScale="80" zoomScaleNormal="80" zoomScaleSheetLayoutView="80" workbookViewId="0">
      <pane xSplit="2" ySplit="6" topLeftCell="C78" activePane="bottomRight" state="frozen"/>
      <selection activeCell="N10" sqref="N10:N32"/>
      <selection pane="topRight" activeCell="N10" sqref="N10:N32"/>
      <selection pane="bottomLeft" activeCell="N10" sqref="N10:N32"/>
      <selection pane="bottomRight" activeCell="F83" sqref="A1:XFD1048576"/>
    </sheetView>
  </sheetViews>
  <sheetFormatPr defaultRowHeight="14.5" outlineLevelRow="1" x14ac:dyDescent="0.25"/>
  <cols>
    <col min="1" max="1" width="6.81640625" style="535" customWidth="1"/>
    <col min="2" max="2" width="62" style="536" customWidth="1"/>
    <col min="3" max="3" width="31.453125" style="1076" customWidth="1"/>
    <col min="4" max="4" width="12.26953125" style="537" customWidth="1"/>
    <col min="5" max="5" width="9.54296875" style="1136" customWidth="1"/>
    <col min="6" max="6" width="15.54296875" style="1136" customWidth="1"/>
    <col min="7" max="7" width="12.1796875" style="1136" customWidth="1"/>
    <col min="8" max="8" width="8.453125" style="1136" customWidth="1"/>
    <col min="9" max="9" width="10.81640625" style="1136" customWidth="1"/>
    <col min="10" max="10" width="11.81640625" style="1136" customWidth="1"/>
    <col min="11" max="12" width="10.54296875" style="1136" bestFit="1" customWidth="1"/>
    <col min="13" max="13" width="13.1796875" style="1136" customWidth="1"/>
    <col min="14" max="14" width="7.7265625" style="1136" customWidth="1"/>
    <col min="15" max="16" width="18.54296875" style="535" customWidth="1"/>
    <col min="17" max="256" width="8.7265625" style="535"/>
    <col min="257" max="257" width="6.81640625" style="535" customWidth="1"/>
    <col min="258" max="258" width="62" style="535" customWidth="1"/>
    <col min="259" max="259" width="31.453125" style="535" customWidth="1"/>
    <col min="260" max="260" width="12.26953125" style="535" customWidth="1"/>
    <col min="261" max="261" width="9.54296875" style="535" customWidth="1"/>
    <col min="262" max="262" width="15.54296875" style="535" customWidth="1"/>
    <col min="263" max="263" width="12.1796875" style="535" customWidth="1"/>
    <col min="264" max="264" width="8.453125" style="535" customWidth="1"/>
    <col min="265" max="265" width="10.81640625" style="535" customWidth="1"/>
    <col min="266" max="266" width="11.81640625" style="535" customWidth="1"/>
    <col min="267" max="268" width="10.54296875" style="535" bestFit="1" customWidth="1"/>
    <col min="269" max="269" width="13.1796875" style="535" customWidth="1"/>
    <col min="270" max="270" width="7.7265625" style="535" customWidth="1"/>
    <col min="271" max="272" width="18.54296875" style="535" customWidth="1"/>
    <col min="273" max="512" width="8.7265625" style="535"/>
    <col min="513" max="513" width="6.81640625" style="535" customWidth="1"/>
    <col min="514" max="514" width="62" style="535" customWidth="1"/>
    <col min="515" max="515" width="31.453125" style="535" customWidth="1"/>
    <col min="516" max="516" width="12.26953125" style="535" customWidth="1"/>
    <col min="517" max="517" width="9.54296875" style="535" customWidth="1"/>
    <col min="518" max="518" width="15.54296875" style="535" customWidth="1"/>
    <col min="519" max="519" width="12.1796875" style="535" customWidth="1"/>
    <col min="520" max="520" width="8.453125" style="535" customWidth="1"/>
    <col min="521" max="521" width="10.81640625" style="535" customWidth="1"/>
    <col min="522" max="522" width="11.81640625" style="535" customWidth="1"/>
    <col min="523" max="524" width="10.54296875" style="535" bestFit="1" customWidth="1"/>
    <col min="525" max="525" width="13.1796875" style="535" customWidth="1"/>
    <col min="526" max="526" width="7.7265625" style="535" customWidth="1"/>
    <col min="527" max="528" width="18.54296875" style="535" customWidth="1"/>
    <col min="529" max="768" width="8.7265625" style="535"/>
    <col min="769" max="769" width="6.81640625" style="535" customWidth="1"/>
    <col min="770" max="770" width="62" style="535" customWidth="1"/>
    <col min="771" max="771" width="31.453125" style="535" customWidth="1"/>
    <col min="772" max="772" width="12.26953125" style="535" customWidth="1"/>
    <col min="773" max="773" width="9.54296875" style="535" customWidth="1"/>
    <col min="774" max="774" width="15.54296875" style="535" customWidth="1"/>
    <col min="775" max="775" width="12.1796875" style="535" customWidth="1"/>
    <col min="776" max="776" width="8.453125" style="535" customWidth="1"/>
    <col min="777" max="777" width="10.81640625" style="535" customWidth="1"/>
    <col min="778" max="778" width="11.81640625" style="535" customWidth="1"/>
    <col min="779" max="780" width="10.54296875" style="535" bestFit="1" customWidth="1"/>
    <col min="781" max="781" width="13.1796875" style="535" customWidth="1"/>
    <col min="782" max="782" width="7.7265625" style="535" customWidth="1"/>
    <col min="783" max="784" width="18.54296875" style="535" customWidth="1"/>
    <col min="785" max="1024" width="8.7265625" style="535"/>
    <col min="1025" max="1025" width="6.81640625" style="535" customWidth="1"/>
    <col min="1026" max="1026" width="62" style="535" customWidth="1"/>
    <col min="1027" max="1027" width="31.453125" style="535" customWidth="1"/>
    <col min="1028" max="1028" width="12.26953125" style="535" customWidth="1"/>
    <col min="1029" max="1029" width="9.54296875" style="535" customWidth="1"/>
    <col min="1030" max="1030" width="15.54296875" style="535" customWidth="1"/>
    <col min="1031" max="1031" width="12.1796875" style="535" customWidth="1"/>
    <col min="1032" max="1032" width="8.453125" style="535" customWidth="1"/>
    <col min="1033" max="1033" width="10.81640625" style="535" customWidth="1"/>
    <col min="1034" max="1034" width="11.81640625" style="535" customWidth="1"/>
    <col min="1035" max="1036" width="10.54296875" style="535" bestFit="1" customWidth="1"/>
    <col min="1037" max="1037" width="13.1796875" style="535" customWidth="1"/>
    <col min="1038" max="1038" width="7.7265625" style="535" customWidth="1"/>
    <col min="1039" max="1040" width="18.54296875" style="535" customWidth="1"/>
    <col min="1041" max="1280" width="8.7265625" style="535"/>
    <col min="1281" max="1281" width="6.81640625" style="535" customWidth="1"/>
    <col min="1282" max="1282" width="62" style="535" customWidth="1"/>
    <col min="1283" max="1283" width="31.453125" style="535" customWidth="1"/>
    <col min="1284" max="1284" width="12.26953125" style="535" customWidth="1"/>
    <col min="1285" max="1285" width="9.54296875" style="535" customWidth="1"/>
    <col min="1286" max="1286" width="15.54296875" style="535" customWidth="1"/>
    <col min="1287" max="1287" width="12.1796875" style="535" customWidth="1"/>
    <col min="1288" max="1288" width="8.453125" style="535" customWidth="1"/>
    <col min="1289" max="1289" width="10.81640625" style="535" customWidth="1"/>
    <col min="1290" max="1290" width="11.81640625" style="535" customWidth="1"/>
    <col min="1291" max="1292" width="10.54296875" style="535" bestFit="1" customWidth="1"/>
    <col min="1293" max="1293" width="13.1796875" style="535" customWidth="1"/>
    <col min="1294" max="1294" width="7.7265625" style="535" customWidth="1"/>
    <col min="1295" max="1296" width="18.54296875" style="535" customWidth="1"/>
    <col min="1297" max="1536" width="8.7265625" style="535"/>
    <col min="1537" max="1537" width="6.81640625" style="535" customWidth="1"/>
    <col min="1538" max="1538" width="62" style="535" customWidth="1"/>
    <col min="1539" max="1539" width="31.453125" style="535" customWidth="1"/>
    <col min="1540" max="1540" width="12.26953125" style="535" customWidth="1"/>
    <col min="1541" max="1541" width="9.54296875" style="535" customWidth="1"/>
    <col min="1542" max="1542" width="15.54296875" style="535" customWidth="1"/>
    <col min="1543" max="1543" width="12.1796875" style="535" customWidth="1"/>
    <col min="1544" max="1544" width="8.453125" style="535" customWidth="1"/>
    <col min="1545" max="1545" width="10.81640625" style="535" customWidth="1"/>
    <col min="1546" max="1546" width="11.81640625" style="535" customWidth="1"/>
    <col min="1547" max="1548" width="10.54296875" style="535" bestFit="1" customWidth="1"/>
    <col min="1549" max="1549" width="13.1796875" style="535" customWidth="1"/>
    <col min="1550" max="1550" width="7.7265625" style="535" customWidth="1"/>
    <col min="1551" max="1552" width="18.54296875" style="535" customWidth="1"/>
    <col min="1553" max="1792" width="8.7265625" style="535"/>
    <col min="1793" max="1793" width="6.81640625" style="535" customWidth="1"/>
    <col min="1794" max="1794" width="62" style="535" customWidth="1"/>
    <col min="1795" max="1795" width="31.453125" style="535" customWidth="1"/>
    <col min="1796" max="1796" width="12.26953125" style="535" customWidth="1"/>
    <col min="1797" max="1797" width="9.54296875" style="535" customWidth="1"/>
    <col min="1798" max="1798" width="15.54296875" style="535" customWidth="1"/>
    <col min="1799" max="1799" width="12.1796875" style="535" customWidth="1"/>
    <col min="1800" max="1800" width="8.453125" style="535" customWidth="1"/>
    <col min="1801" max="1801" width="10.81640625" style="535" customWidth="1"/>
    <col min="1802" max="1802" width="11.81640625" style="535" customWidth="1"/>
    <col min="1803" max="1804" width="10.54296875" style="535" bestFit="1" customWidth="1"/>
    <col min="1805" max="1805" width="13.1796875" style="535" customWidth="1"/>
    <col min="1806" max="1806" width="7.7265625" style="535" customWidth="1"/>
    <col min="1807" max="1808" width="18.54296875" style="535" customWidth="1"/>
    <col min="1809" max="2048" width="8.7265625" style="535"/>
    <col min="2049" max="2049" width="6.81640625" style="535" customWidth="1"/>
    <col min="2050" max="2050" width="62" style="535" customWidth="1"/>
    <col min="2051" max="2051" width="31.453125" style="535" customWidth="1"/>
    <col min="2052" max="2052" width="12.26953125" style="535" customWidth="1"/>
    <col min="2053" max="2053" width="9.54296875" style="535" customWidth="1"/>
    <col min="2054" max="2054" width="15.54296875" style="535" customWidth="1"/>
    <col min="2055" max="2055" width="12.1796875" style="535" customWidth="1"/>
    <col min="2056" max="2056" width="8.453125" style="535" customWidth="1"/>
    <col min="2057" max="2057" width="10.81640625" style="535" customWidth="1"/>
    <col min="2058" max="2058" width="11.81640625" style="535" customWidth="1"/>
    <col min="2059" max="2060" width="10.54296875" style="535" bestFit="1" customWidth="1"/>
    <col min="2061" max="2061" width="13.1796875" style="535" customWidth="1"/>
    <col min="2062" max="2062" width="7.7265625" style="535" customWidth="1"/>
    <col min="2063" max="2064" width="18.54296875" style="535" customWidth="1"/>
    <col min="2065" max="2304" width="8.7265625" style="535"/>
    <col min="2305" max="2305" width="6.81640625" style="535" customWidth="1"/>
    <col min="2306" max="2306" width="62" style="535" customWidth="1"/>
    <col min="2307" max="2307" width="31.453125" style="535" customWidth="1"/>
    <col min="2308" max="2308" width="12.26953125" style="535" customWidth="1"/>
    <col min="2309" max="2309" width="9.54296875" style="535" customWidth="1"/>
    <col min="2310" max="2310" width="15.54296875" style="535" customWidth="1"/>
    <col min="2311" max="2311" width="12.1796875" style="535" customWidth="1"/>
    <col min="2312" max="2312" width="8.453125" style="535" customWidth="1"/>
    <col min="2313" max="2313" width="10.81640625" style="535" customWidth="1"/>
    <col min="2314" max="2314" width="11.81640625" style="535" customWidth="1"/>
    <col min="2315" max="2316" width="10.54296875" style="535" bestFit="1" customWidth="1"/>
    <col min="2317" max="2317" width="13.1796875" style="535" customWidth="1"/>
    <col min="2318" max="2318" width="7.7265625" style="535" customWidth="1"/>
    <col min="2319" max="2320" width="18.54296875" style="535" customWidth="1"/>
    <col min="2321" max="2560" width="8.7265625" style="535"/>
    <col min="2561" max="2561" width="6.81640625" style="535" customWidth="1"/>
    <col min="2562" max="2562" width="62" style="535" customWidth="1"/>
    <col min="2563" max="2563" width="31.453125" style="535" customWidth="1"/>
    <col min="2564" max="2564" width="12.26953125" style="535" customWidth="1"/>
    <col min="2565" max="2565" width="9.54296875" style="535" customWidth="1"/>
    <col min="2566" max="2566" width="15.54296875" style="535" customWidth="1"/>
    <col min="2567" max="2567" width="12.1796875" style="535" customWidth="1"/>
    <col min="2568" max="2568" width="8.453125" style="535" customWidth="1"/>
    <col min="2569" max="2569" width="10.81640625" style="535" customWidth="1"/>
    <col min="2570" max="2570" width="11.81640625" style="535" customWidth="1"/>
    <col min="2571" max="2572" width="10.54296875" style="535" bestFit="1" customWidth="1"/>
    <col min="2573" max="2573" width="13.1796875" style="535" customWidth="1"/>
    <col min="2574" max="2574" width="7.7265625" style="535" customWidth="1"/>
    <col min="2575" max="2576" width="18.54296875" style="535" customWidth="1"/>
    <col min="2577" max="2816" width="8.7265625" style="535"/>
    <col min="2817" max="2817" width="6.81640625" style="535" customWidth="1"/>
    <col min="2818" max="2818" width="62" style="535" customWidth="1"/>
    <col min="2819" max="2819" width="31.453125" style="535" customWidth="1"/>
    <col min="2820" max="2820" width="12.26953125" style="535" customWidth="1"/>
    <col min="2821" max="2821" width="9.54296875" style="535" customWidth="1"/>
    <col min="2822" max="2822" width="15.54296875" style="535" customWidth="1"/>
    <col min="2823" max="2823" width="12.1796875" style="535" customWidth="1"/>
    <col min="2824" max="2824" width="8.453125" style="535" customWidth="1"/>
    <col min="2825" max="2825" width="10.81640625" style="535" customWidth="1"/>
    <col min="2826" max="2826" width="11.81640625" style="535" customWidth="1"/>
    <col min="2827" max="2828" width="10.54296875" style="535" bestFit="1" customWidth="1"/>
    <col min="2829" max="2829" width="13.1796875" style="535" customWidth="1"/>
    <col min="2830" max="2830" width="7.7265625" style="535" customWidth="1"/>
    <col min="2831" max="2832" width="18.54296875" style="535" customWidth="1"/>
    <col min="2833" max="3072" width="8.7265625" style="535"/>
    <col min="3073" max="3073" width="6.81640625" style="535" customWidth="1"/>
    <col min="3074" max="3074" width="62" style="535" customWidth="1"/>
    <col min="3075" max="3075" width="31.453125" style="535" customWidth="1"/>
    <col min="3076" max="3076" width="12.26953125" style="535" customWidth="1"/>
    <col min="3077" max="3077" width="9.54296875" style="535" customWidth="1"/>
    <col min="3078" max="3078" width="15.54296875" style="535" customWidth="1"/>
    <col min="3079" max="3079" width="12.1796875" style="535" customWidth="1"/>
    <col min="3080" max="3080" width="8.453125" style="535" customWidth="1"/>
    <col min="3081" max="3081" width="10.81640625" style="535" customWidth="1"/>
    <col min="3082" max="3082" width="11.81640625" style="535" customWidth="1"/>
    <col min="3083" max="3084" width="10.54296875" style="535" bestFit="1" customWidth="1"/>
    <col min="3085" max="3085" width="13.1796875" style="535" customWidth="1"/>
    <col min="3086" max="3086" width="7.7265625" style="535" customWidth="1"/>
    <col min="3087" max="3088" width="18.54296875" style="535" customWidth="1"/>
    <col min="3089" max="3328" width="8.7265625" style="535"/>
    <col min="3329" max="3329" width="6.81640625" style="535" customWidth="1"/>
    <col min="3330" max="3330" width="62" style="535" customWidth="1"/>
    <col min="3331" max="3331" width="31.453125" style="535" customWidth="1"/>
    <col min="3332" max="3332" width="12.26953125" style="535" customWidth="1"/>
    <col min="3333" max="3333" width="9.54296875" style="535" customWidth="1"/>
    <col min="3334" max="3334" width="15.54296875" style="535" customWidth="1"/>
    <col min="3335" max="3335" width="12.1796875" style="535" customWidth="1"/>
    <col min="3336" max="3336" width="8.453125" style="535" customWidth="1"/>
    <col min="3337" max="3337" width="10.81640625" style="535" customWidth="1"/>
    <col min="3338" max="3338" width="11.81640625" style="535" customWidth="1"/>
    <col min="3339" max="3340" width="10.54296875" style="535" bestFit="1" customWidth="1"/>
    <col min="3341" max="3341" width="13.1796875" style="535" customWidth="1"/>
    <col min="3342" max="3342" width="7.7265625" style="535" customWidth="1"/>
    <col min="3343" max="3344" width="18.54296875" style="535" customWidth="1"/>
    <col min="3345" max="3584" width="8.7265625" style="535"/>
    <col min="3585" max="3585" width="6.81640625" style="535" customWidth="1"/>
    <col min="3586" max="3586" width="62" style="535" customWidth="1"/>
    <col min="3587" max="3587" width="31.453125" style="535" customWidth="1"/>
    <col min="3588" max="3588" width="12.26953125" style="535" customWidth="1"/>
    <col min="3589" max="3589" width="9.54296875" style="535" customWidth="1"/>
    <col min="3590" max="3590" width="15.54296875" style="535" customWidth="1"/>
    <col min="3591" max="3591" width="12.1796875" style="535" customWidth="1"/>
    <col min="3592" max="3592" width="8.453125" style="535" customWidth="1"/>
    <col min="3593" max="3593" width="10.81640625" style="535" customWidth="1"/>
    <col min="3594" max="3594" width="11.81640625" style="535" customWidth="1"/>
    <col min="3595" max="3596" width="10.54296875" style="535" bestFit="1" customWidth="1"/>
    <col min="3597" max="3597" width="13.1796875" style="535" customWidth="1"/>
    <col min="3598" max="3598" width="7.7265625" style="535" customWidth="1"/>
    <col min="3599" max="3600" width="18.54296875" style="535" customWidth="1"/>
    <col min="3601" max="3840" width="8.7265625" style="535"/>
    <col min="3841" max="3841" width="6.81640625" style="535" customWidth="1"/>
    <col min="3842" max="3842" width="62" style="535" customWidth="1"/>
    <col min="3843" max="3843" width="31.453125" style="535" customWidth="1"/>
    <col min="3844" max="3844" width="12.26953125" style="535" customWidth="1"/>
    <col min="3845" max="3845" width="9.54296875" style="535" customWidth="1"/>
    <col min="3846" max="3846" width="15.54296875" style="535" customWidth="1"/>
    <col min="3847" max="3847" width="12.1796875" style="535" customWidth="1"/>
    <col min="3848" max="3848" width="8.453125" style="535" customWidth="1"/>
    <col min="3849" max="3849" width="10.81640625" style="535" customWidth="1"/>
    <col min="3850" max="3850" width="11.81640625" style="535" customWidth="1"/>
    <col min="3851" max="3852" width="10.54296875" style="535" bestFit="1" customWidth="1"/>
    <col min="3853" max="3853" width="13.1796875" style="535" customWidth="1"/>
    <col min="3854" max="3854" width="7.7265625" style="535" customWidth="1"/>
    <col min="3855" max="3856" width="18.54296875" style="535" customWidth="1"/>
    <col min="3857" max="4096" width="8.7265625" style="535"/>
    <col min="4097" max="4097" width="6.81640625" style="535" customWidth="1"/>
    <col min="4098" max="4098" width="62" style="535" customWidth="1"/>
    <col min="4099" max="4099" width="31.453125" style="535" customWidth="1"/>
    <col min="4100" max="4100" width="12.26953125" style="535" customWidth="1"/>
    <col min="4101" max="4101" width="9.54296875" style="535" customWidth="1"/>
    <col min="4102" max="4102" width="15.54296875" style="535" customWidth="1"/>
    <col min="4103" max="4103" width="12.1796875" style="535" customWidth="1"/>
    <col min="4104" max="4104" width="8.453125" style="535" customWidth="1"/>
    <col min="4105" max="4105" width="10.81640625" style="535" customWidth="1"/>
    <col min="4106" max="4106" width="11.81640625" style="535" customWidth="1"/>
    <col min="4107" max="4108" width="10.54296875" style="535" bestFit="1" customWidth="1"/>
    <col min="4109" max="4109" width="13.1796875" style="535" customWidth="1"/>
    <col min="4110" max="4110" width="7.7265625" style="535" customWidth="1"/>
    <col min="4111" max="4112" width="18.54296875" style="535" customWidth="1"/>
    <col min="4113" max="4352" width="8.7265625" style="535"/>
    <col min="4353" max="4353" width="6.81640625" style="535" customWidth="1"/>
    <col min="4354" max="4354" width="62" style="535" customWidth="1"/>
    <col min="4355" max="4355" width="31.453125" style="535" customWidth="1"/>
    <col min="4356" max="4356" width="12.26953125" style="535" customWidth="1"/>
    <col min="4357" max="4357" width="9.54296875" style="535" customWidth="1"/>
    <col min="4358" max="4358" width="15.54296875" style="535" customWidth="1"/>
    <col min="4359" max="4359" width="12.1796875" style="535" customWidth="1"/>
    <col min="4360" max="4360" width="8.453125" style="535" customWidth="1"/>
    <col min="4361" max="4361" width="10.81640625" style="535" customWidth="1"/>
    <col min="4362" max="4362" width="11.81640625" style="535" customWidth="1"/>
    <col min="4363" max="4364" width="10.54296875" style="535" bestFit="1" customWidth="1"/>
    <col min="4365" max="4365" width="13.1796875" style="535" customWidth="1"/>
    <col min="4366" max="4366" width="7.7265625" style="535" customWidth="1"/>
    <col min="4367" max="4368" width="18.54296875" style="535" customWidth="1"/>
    <col min="4369" max="4608" width="8.7265625" style="535"/>
    <col min="4609" max="4609" width="6.81640625" style="535" customWidth="1"/>
    <col min="4610" max="4610" width="62" style="535" customWidth="1"/>
    <col min="4611" max="4611" width="31.453125" style="535" customWidth="1"/>
    <col min="4612" max="4612" width="12.26953125" style="535" customWidth="1"/>
    <col min="4613" max="4613" width="9.54296875" style="535" customWidth="1"/>
    <col min="4614" max="4614" width="15.54296875" style="535" customWidth="1"/>
    <col min="4615" max="4615" width="12.1796875" style="535" customWidth="1"/>
    <col min="4616" max="4616" width="8.453125" style="535" customWidth="1"/>
    <col min="4617" max="4617" width="10.81640625" style="535" customWidth="1"/>
    <col min="4618" max="4618" width="11.81640625" style="535" customWidth="1"/>
    <col min="4619" max="4620" width="10.54296875" style="535" bestFit="1" customWidth="1"/>
    <col min="4621" max="4621" width="13.1796875" style="535" customWidth="1"/>
    <col min="4622" max="4622" width="7.7265625" style="535" customWidth="1"/>
    <col min="4623" max="4624" width="18.54296875" style="535" customWidth="1"/>
    <col min="4625" max="4864" width="8.7265625" style="535"/>
    <col min="4865" max="4865" width="6.81640625" style="535" customWidth="1"/>
    <col min="4866" max="4866" width="62" style="535" customWidth="1"/>
    <col min="4867" max="4867" width="31.453125" style="535" customWidth="1"/>
    <col min="4868" max="4868" width="12.26953125" style="535" customWidth="1"/>
    <col min="4869" max="4869" width="9.54296875" style="535" customWidth="1"/>
    <col min="4870" max="4870" width="15.54296875" style="535" customWidth="1"/>
    <col min="4871" max="4871" width="12.1796875" style="535" customWidth="1"/>
    <col min="4872" max="4872" width="8.453125" style="535" customWidth="1"/>
    <col min="4873" max="4873" width="10.81640625" style="535" customWidth="1"/>
    <col min="4874" max="4874" width="11.81640625" style="535" customWidth="1"/>
    <col min="4875" max="4876" width="10.54296875" style="535" bestFit="1" customWidth="1"/>
    <col min="4877" max="4877" width="13.1796875" style="535" customWidth="1"/>
    <col min="4878" max="4878" width="7.7265625" style="535" customWidth="1"/>
    <col min="4879" max="4880" width="18.54296875" style="535" customWidth="1"/>
    <col min="4881" max="5120" width="8.7265625" style="535"/>
    <col min="5121" max="5121" width="6.81640625" style="535" customWidth="1"/>
    <col min="5122" max="5122" width="62" style="535" customWidth="1"/>
    <col min="5123" max="5123" width="31.453125" style="535" customWidth="1"/>
    <col min="5124" max="5124" width="12.26953125" style="535" customWidth="1"/>
    <col min="5125" max="5125" width="9.54296875" style="535" customWidth="1"/>
    <col min="5126" max="5126" width="15.54296875" style="535" customWidth="1"/>
    <col min="5127" max="5127" width="12.1796875" style="535" customWidth="1"/>
    <col min="5128" max="5128" width="8.453125" style="535" customWidth="1"/>
    <col min="5129" max="5129" width="10.81640625" style="535" customWidth="1"/>
    <col min="5130" max="5130" width="11.81640625" style="535" customWidth="1"/>
    <col min="5131" max="5132" width="10.54296875" style="535" bestFit="1" customWidth="1"/>
    <col min="5133" max="5133" width="13.1796875" style="535" customWidth="1"/>
    <col min="5134" max="5134" width="7.7265625" style="535" customWidth="1"/>
    <col min="5135" max="5136" width="18.54296875" style="535" customWidth="1"/>
    <col min="5137" max="5376" width="8.7265625" style="535"/>
    <col min="5377" max="5377" width="6.81640625" style="535" customWidth="1"/>
    <col min="5378" max="5378" width="62" style="535" customWidth="1"/>
    <col min="5379" max="5379" width="31.453125" style="535" customWidth="1"/>
    <col min="5380" max="5380" width="12.26953125" style="535" customWidth="1"/>
    <col min="5381" max="5381" width="9.54296875" style="535" customWidth="1"/>
    <col min="5382" max="5382" width="15.54296875" style="535" customWidth="1"/>
    <col min="5383" max="5383" width="12.1796875" style="535" customWidth="1"/>
    <col min="5384" max="5384" width="8.453125" style="535" customWidth="1"/>
    <col min="5385" max="5385" width="10.81640625" style="535" customWidth="1"/>
    <col min="5386" max="5386" width="11.81640625" style="535" customWidth="1"/>
    <col min="5387" max="5388" width="10.54296875" style="535" bestFit="1" customWidth="1"/>
    <col min="5389" max="5389" width="13.1796875" style="535" customWidth="1"/>
    <col min="5390" max="5390" width="7.7265625" style="535" customWidth="1"/>
    <col min="5391" max="5392" width="18.54296875" style="535" customWidth="1"/>
    <col min="5393" max="5632" width="8.7265625" style="535"/>
    <col min="5633" max="5633" width="6.81640625" style="535" customWidth="1"/>
    <col min="5634" max="5634" width="62" style="535" customWidth="1"/>
    <col min="5635" max="5635" width="31.453125" style="535" customWidth="1"/>
    <col min="5636" max="5636" width="12.26953125" style="535" customWidth="1"/>
    <col min="5637" max="5637" width="9.54296875" style="535" customWidth="1"/>
    <col min="5638" max="5638" width="15.54296875" style="535" customWidth="1"/>
    <col min="5639" max="5639" width="12.1796875" style="535" customWidth="1"/>
    <col min="5640" max="5640" width="8.453125" style="535" customWidth="1"/>
    <col min="5641" max="5641" width="10.81640625" style="535" customWidth="1"/>
    <col min="5642" max="5642" width="11.81640625" style="535" customWidth="1"/>
    <col min="5643" max="5644" width="10.54296875" style="535" bestFit="1" customWidth="1"/>
    <col min="5645" max="5645" width="13.1796875" style="535" customWidth="1"/>
    <col min="5646" max="5646" width="7.7265625" style="535" customWidth="1"/>
    <col min="5647" max="5648" width="18.54296875" style="535" customWidth="1"/>
    <col min="5649" max="5888" width="8.7265625" style="535"/>
    <col min="5889" max="5889" width="6.81640625" style="535" customWidth="1"/>
    <col min="5890" max="5890" width="62" style="535" customWidth="1"/>
    <col min="5891" max="5891" width="31.453125" style="535" customWidth="1"/>
    <col min="5892" max="5892" width="12.26953125" style="535" customWidth="1"/>
    <col min="5893" max="5893" width="9.54296875" style="535" customWidth="1"/>
    <col min="5894" max="5894" width="15.54296875" style="535" customWidth="1"/>
    <col min="5895" max="5895" width="12.1796875" style="535" customWidth="1"/>
    <col min="5896" max="5896" width="8.453125" style="535" customWidth="1"/>
    <col min="5897" max="5897" width="10.81640625" style="535" customWidth="1"/>
    <col min="5898" max="5898" width="11.81640625" style="535" customWidth="1"/>
    <col min="5899" max="5900" width="10.54296875" style="535" bestFit="1" customWidth="1"/>
    <col min="5901" max="5901" width="13.1796875" style="535" customWidth="1"/>
    <col min="5902" max="5902" width="7.7265625" style="535" customWidth="1"/>
    <col min="5903" max="5904" width="18.54296875" style="535" customWidth="1"/>
    <col min="5905" max="6144" width="8.7265625" style="535"/>
    <col min="6145" max="6145" width="6.81640625" style="535" customWidth="1"/>
    <col min="6146" max="6146" width="62" style="535" customWidth="1"/>
    <col min="6147" max="6147" width="31.453125" style="535" customWidth="1"/>
    <col min="6148" max="6148" width="12.26953125" style="535" customWidth="1"/>
    <col min="6149" max="6149" width="9.54296875" style="535" customWidth="1"/>
    <col min="6150" max="6150" width="15.54296875" style="535" customWidth="1"/>
    <col min="6151" max="6151" width="12.1796875" style="535" customWidth="1"/>
    <col min="6152" max="6152" width="8.453125" style="535" customWidth="1"/>
    <col min="6153" max="6153" width="10.81640625" style="535" customWidth="1"/>
    <col min="6154" max="6154" width="11.81640625" style="535" customWidth="1"/>
    <col min="6155" max="6156" width="10.54296875" style="535" bestFit="1" customWidth="1"/>
    <col min="6157" max="6157" width="13.1796875" style="535" customWidth="1"/>
    <col min="6158" max="6158" width="7.7265625" style="535" customWidth="1"/>
    <col min="6159" max="6160" width="18.54296875" style="535" customWidth="1"/>
    <col min="6161" max="6400" width="8.7265625" style="535"/>
    <col min="6401" max="6401" width="6.81640625" style="535" customWidth="1"/>
    <col min="6402" max="6402" width="62" style="535" customWidth="1"/>
    <col min="6403" max="6403" width="31.453125" style="535" customWidth="1"/>
    <col min="6404" max="6404" width="12.26953125" style="535" customWidth="1"/>
    <col min="6405" max="6405" width="9.54296875" style="535" customWidth="1"/>
    <col min="6406" max="6406" width="15.54296875" style="535" customWidth="1"/>
    <col min="6407" max="6407" width="12.1796875" style="535" customWidth="1"/>
    <col min="6408" max="6408" width="8.453125" style="535" customWidth="1"/>
    <col min="6409" max="6409" width="10.81640625" style="535" customWidth="1"/>
    <col min="6410" max="6410" width="11.81640625" style="535" customWidth="1"/>
    <col min="6411" max="6412" width="10.54296875" style="535" bestFit="1" customWidth="1"/>
    <col min="6413" max="6413" width="13.1796875" style="535" customWidth="1"/>
    <col min="6414" max="6414" width="7.7265625" style="535" customWidth="1"/>
    <col min="6415" max="6416" width="18.54296875" style="535" customWidth="1"/>
    <col min="6417" max="6656" width="8.7265625" style="535"/>
    <col min="6657" max="6657" width="6.81640625" style="535" customWidth="1"/>
    <col min="6658" max="6658" width="62" style="535" customWidth="1"/>
    <col min="6659" max="6659" width="31.453125" style="535" customWidth="1"/>
    <col min="6660" max="6660" width="12.26953125" style="535" customWidth="1"/>
    <col min="6661" max="6661" width="9.54296875" style="535" customWidth="1"/>
    <col min="6662" max="6662" width="15.54296875" style="535" customWidth="1"/>
    <col min="6663" max="6663" width="12.1796875" style="535" customWidth="1"/>
    <col min="6664" max="6664" width="8.453125" style="535" customWidth="1"/>
    <col min="6665" max="6665" width="10.81640625" style="535" customWidth="1"/>
    <col min="6666" max="6666" width="11.81640625" style="535" customWidth="1"/>
    <col min="6667" max="6668" width="10.54296875" style="535" bestFit="1" customWidth="1"/>
    <col min="6669" max="6669" width="13.1796875" style="535" customWidth="1"/>
    <col min="6670" max="6670" width="7.7265625" style="535" customWidth="1"/>
    <col min="6671" max="6672" width="18.54296875" style="535" customWidth="1"/>
    <col min="6673" max="6912" width="8.7265625" style="535"/>
    <col min="6913" max="6913" width="6.81640625" style="535" customWidth="1"/>
    <col min="6914" max="6914" width="62" style="535" customWidth="1"/>
    <col min="6915" max="6915" width="31.453125" style="535" customWidth="1"/>
    <col min="6916" max="6916" width="12.26953125" style="535" customWidth="1"/>
    <col min="6917" max="6917" width="9.54296875" style="535" customWidth="1"/>
    <col min="6918" max="6918" width="15.54296875" style="535" customWidth="1"/>
    <col min="6919" max="6919" width="12.1796875" style="535" customWidth="1"/>
    <col min="6920" max="6920" width="8.453125" style="535" customWidth="1"/>
    <col min="6921" max="6921" width="10.81640625" style="535" customWidth="1"/>
    <col min="6922" max="6922" width="11.81640625" style="535" customWidth="1"/>
    <col min="6923" max="6924" width="10.54296875" style="535" bestFit="1" customWidth="1"/>
    <col min="6925" max="6925" width="13.1796875" style="535" customWidth="1"/>
    <col min="6926" max="6926" width="7.7265625" style="535" customWidth="1"/>
    <col min="6927" max="6928" width="18.54296875" style="535" customWidth="1"/>
    <col min="6929" max="7168" width="8.7265625" style="535"/>
    <col min="7169" max="7169" width="6.81640625" style="535" customWidth="1"/>
    <col min="7170" max="7170" width="62" style="535" customWidth="1"/>
    <col min="7171" max="7171" width="31.453125" style="535" customWidth="1"/>
    <col min="7172" max="7172" width="12.26953125" style="535" customWidth="1"/>
    <col min="7173" max="7173" width="9.54296875" style="535" customWidth="1"/>
    <col min="7174" max="7174" width="15.54296875" style="535" customWidth="1"/>
    <col min="7175" max="7175" width="12.1796875" style="535" customWidth="1"/>
    <col min="7176" max="7176" width="8.453125" style="535" customWidth="1"/>
    <col min="7177" max="7177" width="10.81640625" style="535" customWidth="1"/>
    <col min="7178" max="7178" width="11.81640625" style="535" customWidth="1"/>
    <col min="7179" max="7180" width="10.54296875" style="535" bestFit="1" customWidth="1"/>
    <col min="7181" max="7181" width="13.1796875" style="535" customWidth="1"/>
    <col min="7182" max="7182" width="7.7265625" style="535" customWidth="1"/>
    <col min="7183" max="7184" width="18.54296875" style="535" customWidth="1"/>
    <col min="7185" max="7424" width="8.7265625" style="535"/>
    <col min="7425" max="7425" width="6.81640625" style="535" customWidth="1"/>
    <col min="7426" max="7426" width="62" style="535" customWidth="1"/>
    <col min="7427" max="7427" width="31.453125" style="535" customWidth="1"/>
    <col min="7428" max="7428" width="12.26953125" style="535" customWidth="1"/>
    <col min="7429" max="7429" width="9.54296875" style="535" customWidth="1"/>
    <col min="7430" max="7430" width="15.54296875" style="535" customWidth="1"/>
    <col min="7431" max="7431" width="12.1796875" style="535" customWidth="1"/>
    <col min="7432" max="7432" width="8.453125" style="535" customWidth="1"/>
    <col min="7433" max="7433" width="10.81640625" style="535" customWidth="1"/>
    <col min="7434" max="7434" width="11.81640625" style="535" customWidth="1"/>
    <col min="7435" max="7436" width="10.54296875" style="535" bestFit="1" customWidth="1"/>
    <col min="7437" max="7437" width="13.1796875" style="535" customWidth="1"/>
    <col min="7438" max="7438" width="7.7265625" style="535" customWidth="1"/>
    <col min="7439" max="7440" width="18.54296875" style="535" customWidth="1"/>
    <col min="7441" max="7680" width="8.7265625" style="535"/>
    <col min="7681" max="7681" width="6.81640625" style="535" customWidth="1"/>
    <col min="7682" max="7682" width="62" style="535" customWidth="1"/>
    <col min="7683" max="7683" width="31.453125" style="535" customWidth="1"/>
    <col min="7684" max="7684" width="12.26953125" style="535" customWidth="1"/>
    <col min="7685" max="7685" width="9.54296875" style="535" customWidth="1"/>
    <col min="7686" max="7686" width="15.54296875" style="535" customWidth="1"/>
    <col min="7687" max="7687" width="12.1796875" style="535" customWidth="1"/>
    <col min="7688" max="7688" width="8.453125" style="535" customWidth="1"/>
    <col min="7689" max="7689" width="10.81640625" style="535" customWidth="1"/>
    <col min="7690" max="7690" width="11.81640625" style="535" customWidth="1"/>
    <col min="7691" max="7692" width="10.54296875" style="535" bestFit="1" customWidth="1"/>
    <col min="7693" max="7693" width="13.1796875" style="535" customWidth="1"/>
    <col min="7694" max="7694" width="7.7265625" style="535" customWidth="1"/>
    <col min="7695" max="7696" width="18.54296875" style="535" customWidth="1"/>
    <col min="7697" max="7936" width="8.7265625" style="535"/>
    <col min="7937" max="7937" width="6.81640625" style="535" customWidth="1"/>
    <col min="7938" max="7938" width="62" style="535" customWidth="1"/>
    <col min="7939" max="7939" width="31.453125" style="535" customWidth="1"/>
    <col min="7940" max="7940" width="12.26953125" style="535" customWidth="1"/>
    <col min="7941" max="7941" width="9.54296875" style="535" customWidth="1"/>
    <col min="7942" max="7942" width="15.54296875" style="535" customWidth="1"/>
    <col min="7943" max="7943" width="12.1796875" style="535" customWidth="1"/>
    <col min="7944" max="7944" width="8.453125" style="535" customWidth="1"/>
    <col min="7945" max="7945" width="10.81640625" style="535" customWidth="1"/>
    <col min="7946" max="7946" width="11.81640625" style="535" customWidth="1"/>
    <col min="7947" max="7948" width="10.54296875" style="535" bestFit="1" customWidth="1"/>
    <col min="7949" max="7949" width="13.1796875" style="535" customWidth="1"/>
    <col min="7950" max="7950" width="7.7265625" style="535" customWidth="1"/>
    <col min="7951" max="7952" width="18.54296875" style="535" customWidth="1"/>
    <col min="7953" max="8192" width="8.7265625" style="535"/>
    <col min="8193" max="8193" width="6.81640625" style="535" customWidth="1"/>
    <col min="8194" max="8194" width="62" style="535" customWidth="1"/>
    <col min="8195" max="8195" width="31.453125" style="535" customWidth="1"/>
    <col min="8196" max="8196" width="12.26953125" style="535" customWidth="1"/>
    <col min="8197" max="8197" width="9.54296875" style="535" customWidth="1"/>
    <col min="8198" max="8198" width="15.54296875" style="535" customWidth="1"/>
    <col min="8199" max="8199" width="12.1796875" style="535" customWidth="1"/>
    <col min="8200" max="8200" width="8.453125" style="535" customWidth="1"/>
    <col min="8201" max="8201" width="10.81640625" style="535" customWidth="1"/>
    <col min="8202" max="8202" width="11.81640625" style="535" customWidth="1"/>
    <col min="8203" max="8204" width="10.54296875" style="535" bestFit="1" customWidth="1"/>
    <col min="8205" max="8205" width="13.1796875" style="535" customWidth="1"/>
    <col min="8206" max="8206" width="7.7265625" style="535" customWidth="1"/>
    <col min="8207" max="8208" width="18.54296875" style="535" customWidth="1"/>
    <col min="8209" max="8448" width="8.7265625" style="535"/>
    <col min="8449" max="8449" width="6.81640625" style="535" customWidth="1"/>
    <col min="8450" max="8450" width="62" style="535" customWidth="1"/>
    <col min="8451" max="8451" width="31.453125" style="535" customWidth="1"/>
    <col min="8452" max="8452" width="12.26953125" style="535" customWidth="1"/>
    <col min="8453" max="8453" width="9.54296875" style="535" customWidth="1"/>
    <col min="8454" max="8454" width="15.54296875" style="535" customWidth="1"/>
    <col min="8455" max="8455" width="12.1796875" style="535" customWidth="1"/>
    <col min="8456" max="8456" width="8.453125" style="535" customWidth="1"/>
    <col min="8457" max="8457" width="10.81640625" style="535" customWidth="1"/>
    <col min="8458" max="8458" width="11.81640625" style="535" customWidth="1"/>
    <col min="8459" max="8460" width="10.54296875" style="535" bestFit="1" customWidth="1"/>
    <col min="8461" max="8461" width="13.1796875" style="535" customWidth="1"/>
    <col min="8462" max="8462" width="7.7265625" style="535" customWidth="1"/>
    <col min="8463" max="8464" width="18.54296875" style="535" customWidth="1"/>
    <col min="8465" max="8704" width="8.7265625" style="535"/>
    <col min="8705" max="8705" width="6.81640625" style="535" customWidth="1"/>
    <col min="8706" max="8706" width="62" style="535" customWidth="1"/>
    <col min="8707" max="8707" width="31.453125" style="535" customWidth="1"/>
    <col min="8708" max="8708" width="12.26953125" style="535" customWidth="1"/>
    <col min="8709" max="8709" width="9.54296875" style="535" customWidth="1"/>
    <col min="8710" max="8710" width="15.54296875" style="535" customWidth="1"/>
    <col min="8711" max="8711" width="12.1796875" style="535" customWidth="1"/>
    <col min="8712" max="8712" width="8.453125" style="535" customWidth="1"/>
    <col min="8713" max="8713" width="10.81640625" style="535" customWidth="1"/>
    <col min="8714" max="8714" width="11.81640625" style="535" customWidth="1"/>
    <col min="8715" max="8716" width="10.54296875" style="535" bestFit="1" customWidth="1"/>
    <col min="8717" max="8717" width="13.1796875" style="535" customWidth="1"/>
    <col min="8718" max="8718" width="7.7265625" style="535" customWidth="1"/>
    <col min="8719" max="8720" width="18.54296875" style="535" customWidth="1"/>
    <col min="8721" max="8960" width="8.7265625" style="535"/>
    <col min="8961" max="8961" width="6.81640625" style="535" customWidth="1"/>
    <col min="8962" max="8962" width="62" style="535" customWidth="1"/>
    <col min="8963" max="8963" width="31.453125" style="535" customWidth="1"/>
    <col min="8964" max="8964" width="12.26953125" style="535" customWidth="1"/>
    <col min="8965" max="8965" width="9.54296875" style="535" customWidth="1"/>
    <col min="8966" max="8966" width="15.54296875" style="535" customWidth="1"/>
    <col min="8967" max="8967" width="12.1796875" style="535" customWidth="1"/>
    <col min="8968" max="8968" width="8.453125" style="535" customWidth="1"/>
    <col min="8969" max="8969" width="10.81640625" style="535" customWidth="1"/>
    <col min="8970" max="8970" width="11.81640625" style="535" customWidth="1"/>
    <col min="8971" max="8972" width="10.54296875" style="535" bestFit="1" customWidth="1"/>
    <col min="8973" max="8973" width="13.1796875" style="535" customWidth="1"/>
    <col min="8974" max="8974" width="7.7265625" style="535" customWidth="1"/>
    <col min="8975" max="8976" width="18.54296875" style="535" customWidth="1"/>
    <col min="8977" max="9216" width="8.7265625" style="535"/>
    <col min="9217" max="9217" width="6.81640625" style="535" customWidth="1"/>
    <col min="9218" max="9218" width="62" style="535" customWidth="1"/>
    <col min="9219" max="9219" width="31.453125" style="535" customWidth="1"/>
    <col min="9220" max="9220" width="12.26953125" style="535" customWidth="1"/>
    <col min="9221" max="9221" width="9.54296875" style="535" customWidth="1"/>
    <col min="9222" max="9222" width="15.54296875" style="535" customWidth="1"/>
    <col min="9223" max="9223" width="12.1796875" style="535" customWidth="1"/>
    <col min="9224" max="9224" width="8.453125" style="535" customWidth="1"/>
    <col min="9225" max="9225" width="10.81640625" style="535" customWidth="1"/>
    <col min="9226" max="9226" width="11.81640625" style="535" customWidth="1"/>
    <col min="9227" max="9228" width="10.54296875" style="535" bestFit="1" customWidth="1"/>
    <col min="9229" max="9229" width="13.1796875" style="535" customWidth="1"/>
    <col min="9230" max="9230" width="7.7265625" style="535" customWidth="1"/>
    <col min="9231" max="9232" width="18.54296875" style="535" customWidth="1"/>
    <col min="9233" max="9472" width="8.7265625" style="535"/>
    <col min="9473" max="9473" width="6.81640625" style="535" customWidth="1"/>
    <col min="9474" max="9474" width="62" style="535" customWidth="1"/>
    <col min="9475" max="9475" width="31.453125" style="535" customWidth="1"/>
    <col min="9476" max="9476" width="12.26953125" style="535" customWidth="1"/>
    <col min="9477" max="9477" width="9.54296875" style="535" customWidth="1"/>
    <col min="9478" max="9478" width="15.54296875" style="535" customWidth="1"/>
    <col min="9479" max="9479" width="12.1796875" style="535" customWidth="1"/>
    <col min="9480" max="9480" width="8.453125" style="535" customWidth="1"/>
    <col min="9481" max="9481" width="10.81640625" style="535" customWidth="1"/>
    <col min="9482" max="9482" width="11.81640625" style="535" customWidth="1"/>
    <col min="9483" max="9484" width="10.54296875" style="535" bestFit="1" customWidth="1"/>
    <col min="9485" max="9485" width="13.1796875" style="535" customWidth="1"/>
    <col min="9486" max="9486" width="7.7265625" style="535" customWidth="1"/>
    <col min="9487" max="9488" width="18.54296875" style="535" customWidth="1"/>
    <col min="9489" max="9728" width="8.7265625" style="535"/>
    <col min="9729" max="9729" width="6.81640625" style="535" customWidth="1"/>
    <col min="9730" max="9730" width="62" style="535" customWidth="1"/>
    <col min="9731" max="9731" width="31.453125" style="535" customWidth="1"/>
    <col min="9732" max="9732" width="12.26953125" style="535" customWidth="1"/>
    <col min="9733" max="9733" width="9.54296875" style="535" customWidth="1"/>
    <col min="9734" max="9734" width="15.54296875" style="535" customWidth="1"/>
    <col min="9735" max="9735" width="12.1796875" style="535" customWidth="1"/>
    <col min="9736" max="9736" width="8.453125" style="535" customWidth="1"/>
    <col min="9737" max="9737" width="10.81640625" style="535" customWidth="1"/>
    <col min="9738" max="9738" width="11.81640625" style="535" customWidth="1"/>
    <col min="9739" max="9740" width="10.54296875" style="535" bestFit="1" customWidth="1"/>
    <col min="9741" max="9741" width="13.1796875" style="535" customWidth="1"/>
    <col min="9742" max="9742" width="7.7265625" style="535" customWidth="1"/>
    <col min="9743" max="9744" width="18.54296875" style="535" customWidth="1"/>
    <col min="9745" max="9984" width="8.7265625" style="535"/>
    <col min="9985" max="9985" width="6.81640625" style="535" customWidth="1"/>
    <col min="9986" max="9986" width="62" style="535" customWidth="1"/>
    <col min="9987" max="9987" width="31.453125" style="535" customWidth="1"/>
    <col min="9988" max="9988" width="12.26953125" style="535" customWidth="1"/>
    <col min="9989" max="9989" width="9.54296875" style="535" customWidth="1"/>
    <col min="9990" max="9990" width="15.54296875" style="535" customWidth="1"/>
    <col min="9991" max="9991" width="12.1796875" style="535" customWidth="1"/>
    <col min="9992" max="9992" width="8.453125" style="535" customWidth="1"/>
    <col min="9993" max="9993" width="10.81640625" style="535" customWidth="1"/>
    <col min="9994" max="9994" width="11.81640625" style="535" customWidth="1"/>
    <col min="9995" max="9996" width="10.54296875" style="535" bestFit="1" customWidth="1"/>
    <col min="9997" max="9997" width="13.1796875" style="535" customWidth="1"/>
    <col min="9998" max="9998" width="7.7265625" style="535" customWidth="1"/>
    <col min="9999" max="10000" width="18.54296875" style="535" customWidth="1"/>
    <col min="10001" max="10240" width="8.7265625" style="535"/>
    <col min="10241" max="10241" width="6.81640625" style="535" customWidth="1"/>
    <col min="10242" max="10242" width="62" style="535" customWidth="1"/>
    <col min="10243" max="10243" width="31.453125" style="535" customWidth="1"/>
    <col min="10244" max="10244" width="12.26953125" style="535" customWidth="1"/>
    <col min="10245" max="10245" width="9.54296875" style="535" customWidth="1"/>
    <col min="10246" max="10246" width="15.54296875" style="535" customWidth="1"/>
    <col min="10247" max="10247" width="12.1796875" style="535" customWidth="1"/>
    <col min="10248" max="10248" width="8.453125" style="535" customWidth="1"/>
    <col min="10249" max="10249" width="10.81640625" style="535" customWidth="1"/>
    <col min="10250" max="10250" width="11.81640625" style="535" customWidth="1"/>
    <col min="10251" max="10252" width="10.54296875" style="535" bestFit="1" customWidth="1"/>
    <col min="10253" max="10253" width="13.1796875" style="535" customWidth="1"/>
    <col min="10254" max="10254" width="7.7265625" style="535" customWidth="1"/>
    <col min="10255" max="10256" width="18.54296875" style="535" customWidth="1"/>
    <col min="10257" max="10496" width="8.7265625" style="535"/>
    <col min="10497" max="10497" width="6.81640625" style="535" customWidth="1"/>
    <col min="10498" max="10498" width="62" style="535" customWidth="1"/>
    <col min="10499" max="10499" width="31.453125" style="535" customWidth="1"/>
    <col min="10500" max="10500" width="12.26953125" style="535" customWidth="1"/>
    <col min="10501" max="10501" width="9.54296875" style="535" customWidth="1"/>
    <col min="10502" max="10502" width="15.54296875" style="535" customWidth="1"/>
    <col min="10503" max="10503" width="12.1796875" style="535" customWidth="1"/>
    <col min="10504" max="10504" width="8.453125" style="535" customWidth="1"/>
    <col min="10505" max="10505" width="10.81640625" style="535" customWidth="1"/>
    <col min="10506" max="10506" width="11.81640625" style="535" customWidth="1"/>
    <col min="10507" max="10508" width="10.54296875" style="535" bestFit="1" customWidth="1"/>
    <col min="10509" max="10509" width="13.1796875" style="535" customWidth="1"/>
    <col min="10510" max="10510" width="7.7265625" style="535" customWidth="1"/>
    <col min="10511" max="10512" width="18.54296875" style="535" customWidth="1"/>
    <col min="10513" max="10752" width="8.7265625" style="535"/>
    <col min="10753" max="10753" width="6.81640625" style="535" customWidth="1"/>
    <col min="10754" max="10754" width="62" style="535" customWidth="1"/>
    <col min="10755" max="10755" width="31.453125" style="535" customWidth="1"/>
    <col min="10756" max="10756" width="12.26953125" style="535" customWidth="1"/>
    <col min="10757" max="10757" width="9.54296875" style="535" customWidth="1"/>
    <col min="10758" max="10758" width="15.54296875" style="535" customWidth="1"/>
    <col min="10759" max="10759" width="12.1796875" style="535" customWidth="1"/>
    <col min="10760" max="10760" width="8.453125" style="535" customWidth="1"/>
    <col min="10761" max="10761" width="10.81640625" style="535" customWidth="1"/>
    <col min="10762" max="10762" width="11.81640625" style="535" customWidth="1"/>
    <col min="10763" max="10764" width="10.54296875" style="535" bestFit="1" customWidth="1"/>
    <col min="10765" max="10765" width="13.1796875" style="535" customWidth="1"/>
    <col min="10766" max="10766" width="7.7265625" style="535" customWidth="1"/>
    <col min="10767" max="10768" width="18.54296875" style="535" customWidth="1"/>
    <col min="10769" max="11008" width="8.7265625" style="535"/>
    <col min="11009" max="11009" width="6.81640625" style="535" customWidth="1"/>
    <col min="11010" max="11010" width="62" style="535" customWidth="1"/>
    <col min="11011" max="11011" width="31.453125" style="535" customWidth="1"/>
    <col min="11012" max="11012" width="12.26953125" style="535" customWidth="1"/>
    <col min="11013" max="11013" width="9.54296875" style="535" customWidth="1"/>
    <col min="11014" max="11014" width="15.54296875" style="535" customWidth="1"/>
    <col min="11015" max="11015" width="12.1796875" style="535" customWidth="1"/>
    <col min="11016" max="11016" width="8.453125" style="535" customWidth="1"/>
    <col min="11017" max="11017" width="10.81640625" style="535" customWidth="1"/>
    <col min="11018" max="11018" width="11.81640625" style="535" customWidth="1"/>
    <col min="11019" max="11020" width="10.54296875" style="535" bestFit="1" customWidth="1"/>
    <col min="11021" max="11021" width="13.1796875" style="535" customWidth="1"/>
    <col min="11022" max="11022" width="7.7265625" style="535" customWidth="1"/>
    <col min="11023" max="11024" width="18.54296875" style="535" customWidth="1"/>
    <col min="11025" max="11264" width="8.7265625" style="535"/>
    <col min="11265" max="11265" width="6.81640625" style="535" customWidth="1"/>
    <col min="11266" max="11266" width="62" style="535" customWidth="1"/>
    <col min="11267" max="11267" width="31.453125" style="535" customWidth="1"/>
    <col min="11268" max="11268" width="12.26953125" style="535" customWidth="1"/>
    <col min="11269" max="11269" width="9.54296875" style="535" customWidth="1"/>
    <col min="11270" max="11270" width="15.54296875" style="535" customWidth="1"/>
    <col min="11271" max="11271" width="12.1796875" style="535" customWidth="1"/>
    <col min="11272" max="11272" width="8.453125" style="535" customWidth="1"/>
    <col min="11273" max="11273" width="10.81640625" style="535" customWidth="1"/>
    <col min="11274" max="11274" width="11.81640625" style="535" customWidth="1"/>
    <col min="11275" max="11276" width="10.54296875" style="535" bestFit="1" customWidth="1"/>
    <col min="11277" max="11277" width="13.1796875" style="535" customWidth="1"/>
    <col min="11278" max="11278" width="7.7265625" style="535" customWidth="1"/>
    <col min="11279" max="11280" width="18.54296875" style="535" customWidth="1"/>
    <col min="11281" max="11520" width="8.7265625" style="535"/>
    <col min="11521" max="11521" width="6.81640625" style="535" customWidth="1"/>
    <col min="11522" max="11522" width="62" style="535" customWidth="1"/>
    <col min="11523" max="11523" width="31.453125" style="535" customWidth="1"/>
    <col min="11524" max="11524" width="12.26953125" style="535" customWidth="1"/>
    <col min="11525" max="11525" width="9.54296875" style="535" customWidth="1"/>
    <col min="11526" max="11526" width="15.54296875" style="535" customWidth="1"/>
    <col min="11527" max="11527" width="12.1796875" style="535" customWidth="1"/>
    <col min="11528" max="11528" width="8.453125" style="535" customWidth="1"/>
    <col min="11529" max="11529" width="10.81640625" style="535" customWidth="1"/>
    <col min="11530" max="11530" width="11.81640625" style="535" customWidth="1"/>
    <col min="11531" max="11532" width="10.54296875" style="535" bestFit="1" customWidth="1"/>
    <col min="11533" max="11533" width="13.1796875" style="535" customWidth="1"/>
    <col min="11534" max="11534" width="7.7265625" style="535" customWidth="1"/>
    <col min="11535" max="11536" width="18.54296875" style="535" customWidth="1"/>
    <col min="11537" max="11776" width="8.7265625" style="535"/>
    <col min="11777" max="11777" width="6.81640625" style="535" customWidth="1"/>
    <col min="11778" max="11778" width="62" style="535" customWidth="1"/>
    <col min="11779" max="11779" width="31.453125" style="535" customWidth="1"/>
    <col min="11780" max="11780" width="12.26953125" style="535" customWidth="1"/>
    <col min="11781" max="11781" width="9.54296875" style="535" customWidth="1"/>
    <col min="11782" max="11782" width="15.54296875" style="535" customWidth="1"/>
    <col min="11783" max="11783" width="12.1796875" style="535" customWidth="1"/>
    <col min="11784" max="11784" width="8.453125" style="535" customWidth="1"/>
    <col min="11785" max="11785" width="10.81640625" style="535" customWidth="1"/>
    <col min="11786" max="11786" width="11.81640625" style="535" customWidth="1"/>
    <col min="11787" max="11788" width="10.54296875" style="535" bestFit="1" customWidth="1"/>
    <col min="11789" max="11789" width="13.1796875" style="535" customWidth="1"/>
    <col min="11790" max="11790" width="7.7265625" style="535" customWidth="1"/>
    <col min="11791" max="11792" width="18.54296875" style="535" customWidth="1"/>
    <col min="11793" max="12032" width="8.7265625" style="535"/>
    <col min="12033" max="12033" width="6.81640625" style="535" customWidth="1"/>
    <col min="12034" max="12034" width="62" style="535" customWidth="1"/>
    <col min="12035" max="12035" width="31.453125" style="535" customWidth="1"/>
    <col min="12036" max="12036" width="12.26953125" style="535" customWidth="1"/>
    <col min="12037" max="12037" width="9.54296875" style="535" customWidth="1"/>
    <col min="12038" max="12038" width="15.54296875" style="535" customWidth="1"/>
    <col min="12039" max="12039" width="12.1796875" style="535" customWidth="1"/>
    <col min="12040" max="12040" width="8.453125" style="535" customWidth="1"/>
    <col min="12041" max="12041" width="10.81640625" style="535" customWidth="1"/>
    <col min="12042" max="12042" width="11.81640625" style="535" customWidth="1"/>
    <col min="12043" max="12044" width="10.54296875" style="535" bestFit="1" customWidth="1"/>
    <col min="12045" max="12045" width="13.1796875" style="535" customWidth="1"/>
    <col min="12046" max="12046" width="7.7265625" style="535" customWidth="1"/>
    <col min="12047" max="12048" width="18.54296875" style="535" customWidth="1"/>
    <col min="12049" max="12288" width="8.7265625" style="535"/>
    <col min="12289" max="12289" width="6.81640625" style="535" customWidth="1"/>
    <col min="12290" max="12290" width="62" style="535" customWidth="1"/>
    <col min="12291" max="12291" width="31.453125" style="535" customWidth="1"/>
    <col min="12292" max="12292" width="12.26953125" style="535" customWidth="1"/>
    <col min="12293" max="12293" width="9.54296875" style="535" customWidth="1"/>
    <col min="12294" max="12294" width="15.54296875" style="535" customWidth="1"/>
    <col min="12295" max="12295" width="12.1796875" style="535" customWidth="1"/>
    <col min="12296" max="12296" width="8.453125" style="535" customWidth="1"/>
    <col min="12297" max="12297" width="10.81640625" style="535" customWidth="1"/>
    <col min="12298" max="12298" width="11.81640625" style="535" customWidth="1"/>
    <col min="12299" max="12300" width="10.54296875" style="535" bestFit="1" customWidth="1"/>
    <col min="12301" max="12301" width="13.1796875" style="535" customWidth="1"/>
    <col min="12302" max="12302" width="7.7265625" style="535" customWidth="1"/>
    <col min="12303" max="12304" width="18.54296875" style="535" customWidth="1"/>
    <col min="12305" max="12544" width="8.7265625" style="535"/>
    <col min="12545" max="12545" width="6.81640625" style="535" customWidth="1"/>
    <col min="12546" max="12546" width="62" style="535" customWidth="1"/>
    <col min="12547" max="12547" width="31.453125" style="535" customWidth="1"/>
    <col min="12548" max="12548" width="12.26953125" style="535" customWidth="1"/>
    <col min="12549" max="12549" width="9.54296875" style="535" customWidth="1"/>
    <col min="12550" max="12550" width="15.54296875" style="535" customWidth="1"/>
    <col min="12551" max="12551" width="12.1796875" style="535" customWidth="1"/>
    <col min="12552" max="12552" width="8.453125" style="535" customWidth="1"/>
    <col min="12553" max="12553" width="10.81640625" style="535" customWidth="1"/>
    <col min="12554" max="12554" width="11.81640625" style="535" customWidth="1"/>
    <col min="12555" max="12556" width="10.54296875" style="535" bestFit="1" customWidth="1"/>
    <col min="12557" max="12557" width="13.1796875" style="535" customWidth="1"/>
    <col min="12558" max="12558" width="7.7265625" style="535" customWidth="1"/>
    <col min="12559" max="12560" width="18.54296875" style="535" customWidth="1"/>
    <col min="12561" max="12800" width="8.7265625" style="535"/>
    <col min="12801" max="12801" width="6.81640625" style="535" customWidth="1"/>
    <col min="12802" max="12802" width="62" style="535" customWidth="1"/>
    <col min="12803" max="12803" width="31.453125" style="535" customWidth="1"/>
    <col min="12804" max="12804" width="12.26953125" style="535" customWidth="1"/>
    <col min="12805" max="12805" width="9.54296875" style="535" customWidth="1"/>
    <col min="12806" max="12806" width="15.54296875" style="535" customWidth="1"/>
    <col min="12807" max="12807" width="12.1796875" style="535" customWidth="1"/>
    <col min="12808" max="12808" width="8.453125" style="535" customWidth="1"/>
    <col min="12809" max="12809" width="10.81640625" style="535" customWidth="1"/>
    <col min="12810" max="12810" width="11.81640625" style="535" customWidth="1"/>
    <col min="12811" max="12812" width="10.54296875" style="535" bestFit="1" customWidth="1"/>
    <col min="12813" max="12813" width="13.1796875" style="535" customWidth="1"/>
    <col min="12814" max="12814" width="7.7265625" style="535" customWidth="1"/>
    <col min="12815" max="12816" width="18.54296875" style="535" customWidth="1"/>
    <col min="12817" max="13056" width="8.7265625" style="535"/>
    <col min="13057" max="13057" width="6.81640625" style="535" customWidth="1"/>
    <col min="13058" max="13058" width="62" style="535" customWidth="1"/>
    <col min="13059" max="13059" width="31.453125" style="535" customWidth="1"/>
    <col min="13060" max="13060" width="12.26953125" style="535" customWidth="1"/>
    <col min="13061" max="13061" width="9.54296875" style="535" customWidth="1"/>
    <col min="13062" max="13062" width="15.54296875" style="535" customWidth="1"/>
    <col min="13063" max="13063" width="12.1796875" style="535" customWidth="1"/>
    <col min="13064" max="13064" width="8.453125" style="535" customWidth="1"/>
    <col min="13065" max="13065" width="10.81640625" style="535" customWidth="1"/>
    <col min="13066" max="13066" width="11.81640625" style="535" customWidth="1"/>
    <col min="13067" max="13068" width="10.54296875" style="535" bestFit="1" customWidth="1"/>
    <col min="13069" max="13069" width="13.1796875" style="535" customWidth="1"/>
    <col min="13070" max="13070" width="7.7265625" style="535" customWidth="1"/>
    <col min="13071" max="13072" width="18.54296875" style="535" customWidth="1"/>
    <col min="13073" max="13312" width="8.7265625" style="535"/>
    <col min="13313" max="13313" width="6.81640625" style="535" customWidth="1"/>
    <col min="13314" max="13314" width="62" style="535" customWidth="1"/>
    <col min="13315" max="13315" width="31.453125" style="535" customWidth="1"/>
    <col min="13316" max="13316" width="12.26953125" style="535" customWidth="1"/>
    <col min="13317" max="13317" width="9.54296875" style="535" customWidth="1"/>
    <col min="13318" max="13318" width="15.54296875" style="535" customWidth="1"/>
    <col min="13319" max="13319" width="12.1796875" style="535" customWidth="1"/>
    <col min="13320" max="13320" width="8.453125" style="535" customWidth="1"/>
    <col min="13321" max="13321" width="10.81640625" style="535" customWidth="1"/>
    <col min="13322" max="13322" width="11.81640625" style="535" customWidth="1"/>
    <col min="13323" max="13324" width="10.54296875" style="535" bestFit="1" customWidth="1"/>
    <col min="13325" max="13325" width="13.1796875" style="535" customWidth="1"/>
    <col min="13326" max="13326" width="7.7265625" style="535" customWidth="1"/>
    <col min="13327" max="13328" width="18.54296875" style="535" customWidth="1"/>
    <col min="13329" max="13568" width="8.7265625" style="535"/>
    <col min="13569" max="13569" width="6.81640625" style="535" customWidth="1"/>
    <col min="13570" max="13570" width="62" style="535" customWidth="1"/>
    <col min="13571" max="13571" width="31.453125" style="535" customWidth="1"/>
    <col min="13572" max="13572" width="12.26953125" style="535" customWidth="1"/>
    <col min="13573" max="13573" width="9.54296875" style="535" customWidth="1"/>
    <col min="13574" max="13574" width="15.54296875" style="535" customWidth="1"/>
    <col min="13575" max="13575" width="12.1796875" style="535" customWidth="1"/>
    <col min="13576" max="13576" width="8.453125" style="535" customWidth="1"/>
    <col min="13577" max="13577" width="10.81640625" style="535" customWidth="1"/>
    <col min="13578" max="13578" width="11.81640625" style="535" customWidth="1"/>
    <col min="13579" max="13580" width="10.54296875" style="535" bestFit="1" customWidth="1"/>
    <col min="13581" max="13581" width="13.1796875" style="535" customWidth="1"/>
    <col min="13582" max="13582" width="7.7265625" style="535" customWidth="1"/>
    <col min="13583" max="13584" width="18.54296875" style="535" customWidth="1"/>
    <col min="13585" max="13824" width="8.7265625" style="535"/>
    <col min="13825" max="13825" width="6.81640625" style="535" customWidth="1"/>
    <col min="13826" max="13826" width="62" style="535" customWidth="1"/>
    <col min="13827" max="13827" width="31.453125" style="535" customWidth="1"/>
    <col min="13828" max="13828" width="12.26953125" style="535" customWidth="1"/>
    <col min="13829" max="13829" width="9.54296875" style="535" customWidth="1"/>
    <col min="13830" max="13830" width="15.54296875" style="535" customWidth="1"/>
    <col min="13831" max="13831" width="12.1796875" style="535" customWidth="1"/>
    <col min="13832" max="13832" width="8.453125" style="535" customWidth="1"/>
    <col min="13833" max="13833" width="10.81640625" style="535" customWidth="1"/>
    <col min="13834" max="13834" width="11.81640625" style="535" customWidth="1"/>
    <col min="13835" max="13836" width="10.54296875" style="535" bestFit="1" customWidth="1"/>
    <col min="13837" max="13837" width="13.1796875" style="535" customWidth="1"/>
    <col min="13838" max="13838" width="7.7265625" style="535" customWidth="1"/>
    <col min="13839" max="13840" width="18.54296875" style="535" customWidth="1"/>
    <col min="13841" max="14080" width="8.7265625" style="535"/>
    <col min="14081" max="14081" width="6.81640625" style="535" customWidth="1"/>
    <col min="14082" max="14082" width="62" style="535" customWidth="1"/>
    <col min="14083" max="14083" width="31.453125" style="535" customWidth="1"/>
    <col min="14084" max="14084" width="12.26953125" style="535" customWidth="1"/>
    <col min="14085" max="14085" width="9.54296875" style="535" customWidth="1"/>
    <col min="14086" max="14086" width="15.54296875" style="535" customWidth="1"/>
    <col min="14087" max="14087" width="12.1796875" style="535" customWidth="1"/>
    <col min="14088" max="14088" width="8.453125" style="535" customWidth="1"/>
    <col min="14089" max="14089" width="10.81640625" style="535" customWidth="1"/>
    <col min="14090" max="14090" width="11.81640625" style="535" customWidth="1"/>
    <col min="14091" max="14092" width="10.54296875" style="535" bestFit="1" customWidth="1"/>
    <col min="14093" max="14093" width="13.1796875" style="535" customWidth="1"/>
    <col min="14094" max="14094" width="7.7265625" style="535" customWidth="1"/>
    <col min="14095" max="14096" width="18.54296875" style="535" customWidth="1"/>
    <col min="14097" max="14336" width="8.7265625" style="535"/>
    <col min="14337" max="14337" width="6.81640625" style="535" customWidth="1"/>
    <col min="14338" max="14338" width="62" style="535" customWidth="1"/>
    <col min="14339" max="14339" width="31.453125" style="535" customWidth="1"/>
    <col min="14340" max="14340" width="12.26953125" style="535" customWidth="1"/>
    <col min="14341" max="14341" width="9.54296875" style="535" customWidth="1"/>
    <col min="14342" max="14342" width="15.54296875" style="535" customWidth="1"/>
    <col min="14343" max="14343" width="12.1796875" style="535" customWidth="1"/>
    <col min="14344" max="14344" width="8.453125" style="535" customWidth="1"/>
    <col min="14345" max="14345" width="10.81640625" style="535" customWidth="1"/>
    <col min="14346" max="14346" width="11.81640625" style="535" customWidth="1"/>
    <col min="14347" max="14348" width="10.54296875" style="535" bestFit="1" customWidth="1"/>
    <col min="14349" max="14349" width="13.1796875" style="535" customWidth="1"/>
    <col min="14350" max="14350" width="7.7265625" style="535" customWidth="1"/>
    <col min="14351" max="14352" width="18.54296875" style="535" customWidth="1"/>
    <col min="14353" max="14592" width="8.7265625" style="535"/>
    <col min="14593" max="14593" width="6.81640625" style="535" customWidth="1"/>
    <col min="14594" max="14594" width="62" style="535" customWidth="1"/>
    <col min="14595" max="14595" width="31.453125" style="535" customWidth="1"/>
    <col min="14596" max="14596" width="12.26953125" style="535" customWidth="1"/>
    <col min="14597" max="14597" width="9.54296875" style="535" customWidth="1"/>
    <col min="14598" max="14598" width="15.54296875" style="535" customWidth="1"/>
    <col min="14599" max="14599" width="12.1796875" style="535" customWidth="1"/>
    <col min="14600" max="14600" width="8.453125" style="535" customWidth="1"/>
    <col min="14601" max="14601" width="10.81640625" style="535" customWidth="1"/>
    <col min="14602" max="14602" width="11.81640625" style="535" customWidth="1"/>
    <col min="14603" max="14604" width="10.54296875" style="535" bestFit="1" customWidth="1"/>
    <col min="14605" max="14605" width="13.1796875" style="535" customWidth="1"/>
    <col min="14606" max="14606" width="7.7265625" style="535" customWidth="1"/>
    <col min="14607" max="14608" width="18.54296875" style="535" customWidth="1"/>
    <col min="14609" max="14848" width="8.7265625" style="535"/>
    <col min="14849" max="14849" width="6.81640625" style="535" customWidth="1"/>
    <col min="14850" max="14850" width="62" style="535" customWidth="1"/>
    <col min="14851" max="14851" width="31.453125" style="535" customWidth="1"/>
    <col min="14852" max="14852" width="12.26953125" style="535" customWidth="1"/>
    <col min="14853" max="14853" width="9.54296875" style="535" customWidth="1"/>
    <col min="14854" max="14854" width="15.54296875" style="535" customWidth="1"/>
    <col min="14855" max="14855" width="12.1796875" style="535" customWidth="1"/>
    <col min="14856" max="14856" width="8.453125" style="535" customWidth="1"/>
    <col min="14857" max="14857" width="10.81640625" style="535" customWidth="1"/>
    <col min="14858" max="14858" width="11.81640625" style="535" customWidth="1"/>
    <col min="14859" max="14860" width="10.54296875" style="535" bestFit="1" customWidth="1"/>
    <col min="14861" max="14861" width="13.1796875" style="535" customWidth="1"/>
    <col min="14862" max="14862" width="7.7265625" style="535" customWidth="1"/>
    <col min="14863" max="14864" width="18.54296875" style="535" customWidth="1"/>
    <col min="14865" max="15104" width="8.7265625" style="535"/>
    <col min="15105" max="15105" width="6.81640625" style="535" customWidth="1"/>
    <col min="15106" max="15106" width="62" style="535" customWidth="1"/>
    <col min="15107" max="15107" width="31.453125" style="535" customWidth="1"/>
    <col min="15108" max="15108" width="12.26953125" style="535" customWidth="1"/>
    <col min="15109" max="15109" width="9.54296875" style="535" customWidth="1"/>
    <col min="15110" max="15110" width="15.54296875" style="535" customWidth="1"/>
    <col min="15111" max="15111" width="12.1796875" style="535" customWidth="1"/>
    <col min="15112" max="15112" width="8.453125" style="535" customWidth="1"/>
    <col min="15113" max="15113" width="10.81640625" style="535" customWidth="1"/>
    <col min="15114" max="15114" width="11.81640625" style="535" customWidth="1"/>
    <col min="15115" max="15116" width="10.54296875" style="535" bestFit="1" customWidth="1"/>
    <col min="15117" max="15117" width="13.1796875" style="535" customWidth="1"/>
    <col min="15118" max="15118" width="7.7265625" style="535" customWidth="1"/>
    <col min="15119" max="15120" width="18.54296875" style="535" customWidth="1"/>
    <col min="15121" max="15360" width="8.7265625" style="535"/>
    <col min="15361" max="15361" width="6.81640625" style="535" customWidth="1"/>
    <col min="15362" max="15362" width="62" style="535" customWidth="1"/>
    <col min="15363" max="15363" width="31.453125" style="535" customWidth="1"/>
    <col min="15364" max="15364" width="12.26953125" style="535" customWidth="1"/>
    <col min="15365" max="15365" width="9.54296875" style="535" customWidth="1"/>
    <col min="15366" max="15366" width="15.54296875" style="535" customWidth="1"/>
    <col min="15367" max="15367" width="12.1796875" style="535" customWidth="1"/>
    <col min="15368" max="15368" width="8.453125" style="535" customWidth="1"/>
    <col min="15369" max="15369" width="10.81640625" style="535" customWidth="1"/>
    <col min="15370" max="15370" width="11.81640625" style="535" customWidth="1"/>
    <col min="15371" max="15372" width="10.54296875" style="535" bestFit="1" customWidth="1"/>
    <col min="15373" max="15373" width="13.1796875" style="535" customWidth="1"/>
    <col min="15374" max="15374" width="7.7265625" style="535" customWidth="1"/>
    <col min="15375" max="15376" width="18.54296875" style="535" customWidth="1"/>
    <col min="15377" max="15616" width="8.7265625" style="535"/>
    <col min="15617" max="15617" width="6.81640625" style="535" customWidth="1"/>
    <col min="15618" max="15618" width="62" style="535" customWidth="1"/>
    <col min="15619" max="15619" width="31.453125" style="535" customWidth="1"/>
    <col min="15620" max="15620" width="12.26953125" style="535" customWidth="1"/>
    <col min="15621" max="15621" width="9.54296875" style="535" customWidth="1"/>
    <col min="15622" max="15622" width="15.54296875" style="535" customWidth="1"/>
    <col min="15623" max="15623" width="12.1796875" style="535" customWidth="1"/>
    <col min="15624" max="15624" width="8.453125" style="535" customWidth="1"/>
    <col min="15625" max="15625" width="10.81640625" style="535" customWidth="1"/>
    <col min="15626" max="15626" width="11.81640625" style="535" customWidth="1"/>
    <col min="15627" max="15628" width="10.54296875" style="535" bestFit="1" customWidth="1"/>
    <col min="15629" max="15629" width="13.1796875" style="535" customWidth="1"/>
    <col min="15630" max="15630" width="7.7265625" style="535" customWidth="1"/>
    <col min="15631" max="15632" width="18.54296875" style="535" customWidth="1"/>
    <col min="15633" max="15872" width="8.7265625" style="535"/>
    <col min="15873" max="15873" width="6.81640625" style="535" customWidth="1"/>
    <col min="15874" max="15874" width="62" style="535" customWidth="1"/>
    <col min="15875" max="15875" width="31.453125" style="535" customWidth="1"/>
    <col min="15876" max="15876" width="12.26953125" style="535" customWidth="1"/>
    <col min="15877" max="15877" width="9.54296875" style="535" customWidth="1"/>
    <col min="15878" max="15878" width="15.54296875" style="535" customWidth="1"/>
    <col min="15879" max="15879" width="12.1796875" style="535" customWidth="1"/>
    <col min="15880" max="15880" width="8.453125" style="535" customWidth="1"/>
    <col min="15881" max="15881" width="10.81640625" style="535" customWidth="1"/>
    <col min="15882" max="15882" width="11.81640625" style="535" customWidth="1"/>
    <col min="15883" max="15884" width="10.54296875" style="535" bestFit="1" customWidth="1"/>
    <col min="15885" max="15885" width="13.1796875" style="535" customWidth="1"/>
    <col min="15886" max="15886" width="7.7265625" style="535" customWidth="1"/>
    <col min="15887" max="15888" width="18.54296875" style="535" customWidth="1"/>
    <col min="15889" max="16128" width="8.7265625" style="535"/>
    <col min="16129" max="16129" width="6.81640625" style="535" customWidth="1"/>
    <col min="16130" max="16130" width="62" style="535" customWidth="1"/>
    <col min="16131" max="16131" width="31.453125" style="535" customWidth="1"/>
    <col min="16132" max="16132" width="12.26953125" style="535" customWidth="1"/>
    <col min="16133" max="16133" width="9.54296875" style="535" customWidth="1"/>
    <col min="16134" max="16134" width="15.54296875" style="535" customWidth="1"/>
    <col min="16135" max="16135" width="12.1796875" style="535" customWidth="1"/>
    <col min="16136" max="16136" width="8.453125" style="535" customWidth="1"/>
    <col min="16137" max="16137" width="10.81640625" style="535" customWidth="1"/>
    <col min="16138" max="16138" width="11.81640625" style="535" customWidth="1"/>
    <col min="16139" max="16140" width="10.54296875" style="535" bestFit="1" customWidth="1"/>
    <col min="16141" max="16141" width="13.1796875" style="535" customWidth="1"/>
    <col min="16142" max="16142" width="7.7265625" style="535" customWidth="1"/>
    <col min="16143" max="16144" width="18.54296875" style="535" customWidth="1"/>
    <col min="16145" max="16384" width="8.7265625" style="535"/>
  </cols>
  <sheetData>
    <row r="1" spans="1:16" x14ac:dyDescent="0.25">
      <c r="C1" s="524" t="s">
        <v>1652</v>
      </c>
    </row>
    <row r="2" spans="1:16" x14ac:dyDescent="0.25">
      <c r="C2" s="1137" t="s">
        <v>1653</v>
      </c>
    </row>
    <row r="3" spans="1:16" x14ac:dyDescent="0.25">
      <c r="B3" s="1138" t="s">
        <v>0</v>
      </c>
      <c r="C3" s="1139" t="s">
        <v>653</v>
      </c>
      <c r="D3" s="1140"/>
      <c r="E3" s="1141"/>
      <c r="F3" s="1141"/>
      <c r="G3" s="1141"/>
      <c r="H3" s="1141"/>
      <c r="I3" s="1141"/>
      <c r="J3" s="1142"/>
      <c r="K3" s="1142"/>
      <c r="L3" s="1142"/>
      <c r="M3" s="1143" t="s">
        <v>10</v>
      </c>
      <c r="N3" s="1142"/>
    </row>
    <row r="4" spans="1:16" x14ac:dyDescent="0.25">
      <c r="A4" s="1601" t="s">
        <v>343</v>
      </c>
      <c r="B4" s="1601" t="s">
        <v>16</v>
      </c>
      <c r="C4" s="1601" t="s">
        <v>503</v>
      </c>
      <c r="D4" s="1647" t="s">
        <v>504</v>
      </c>
      <c r="E4" s="1603" t="s">
        <v>51</v>
      </c>
      <c r="F4" s="1619" t="s">
        <v>513</v>
      </c>
      <c r="G4" s="1603" t="s">
        <v>514</v>
      </c>
      <c r="H4" s="1603" t="s">
        <v>50</v>
      </c>
      <c r="I4" s="1603" t="s">
        <v>49</v>
      </c>
      <c r="J4" s="1603" t="s">
        <v>935</v>
      </c>
      <c r="K4" s="1603"/>
      <c r="L4" s="1603"/>
      <c r="M4" s="1603"/>
      <c r="N4" s="1619" t="s">
        <v>47</v>
      </c>
    </row>
    <row r="5" spans="1:16" x14ac:dyDescent="0.25">
      <c r="A5" s="1601"/>
      <c r="B5" s="1601"/>
      <c r="C5" s="1601"/>
      <c r="D5" s="1647"/>
      <c r="E5" s="1603"/>
      <c r="F5" s="1620"/>
      <c r="G5" s="1603"/>
      <c r="H5" s="1603"/>
      <c r="I5" s="1603"/>
      <c r="J5" s="1603"/>
      <c r="K5" s="1603"/>
      <c r="L5" s="1603"/>
      <c r="M5" s="1603"/>
      <c r="N5" s="1620"/>
    </row>
    <row r="6" spans="1:16" ht="29" x14ac:dyDescent="0.25">
      <c r="A6" s="1601"/>
      <c r="B6" s="1601"/>
      <c r="C6" s="1601"/>
      <c r="D6" s="1647"/>
      <c r="E6" s="1603"/>
      <c r="F6" s="1621"/>
      <c r="G6" s="1603"/>
      <c r="H6" s="1603"/>
      <c r="I6" s="1603"/>
      <c r="J6" s="1144" t="s">
        <v>46</v>
      </c>
      <c r="K6" s="1144" t="s">
        <v>45</v>
      </c>
      <c r="L6" s="1144" t="s">
        <v>44</v>
      </c>
      <c r="M6" s="1144" t="s">
        <v>43</v>
      </c>
      <c r="N6" s="1621"/>
      <c r="O6" s="1023" t="s">
        <v>1513</v>
      </c>
      <c r="P6" s="1023" t="s">
        <v>1512</v>
      </c>
    </row>
    <row r="7" spans="1:16" x14ac:dyDescent="0.25">
      <c r="A7" s="1145"/>
      <c r="B7" s="1082" t="s">
        <v>519</v>
      </c>
      <c r="C7" s="1146"/>
      <c r="D7" s="1147"/>
      <c r="E7" s="1148"/>
      <c r="F7" s="1148"/>
      <c r="G7" s="1148"/>
      <c r="H7" s="1148"/>
      <c r="I7" s="1148"/>
      <c r="J7" s="1148"/>
      <c r="K7" s="1148"/>
      <c r="L7" s="1148"/>
      <c r="M7" s="1148"/>
      <c r="N7" s="1148"/>
    </row>
    <row r="8" spans="1:16" ht="15.5" outlineLevel="1" x14ac:dyDescent="0.25">
      <c r="A8" s="1149"/>
      <c r="B8" s="1012" t="s">
        <v>23</v>
      </c>
      <c r="C8" s="1146"/>
      <c r="D8" s="1147"/>
      <c r="E8" s="1148"/>
      <c r="F8" s="1148"/>
      <c r="G8" s="1148"/>
      <c r="H8" s="1148"/>
      <c r="I8" s="1148"/>
      <c r="J8" s="1148"/>
      <c r="K8" s="1148"/>
      <c r="L8" s="1148"/>
      <c r="M8" s="1148"/>
      <c r="N8" s="1148"/>
    </row>
    <row r="9" spans="1:16" ht="15.5" outlineLevel="1" x14ac:dyDescent="0.25">
      <c r="A9" s="1149"/>
      <c r="B9" s="1150" t="s">
        <v>912</v>
      </c>
      <c r="C9" s="1151"/>
      <c r="D9" s="1152"/>
      <c r="E9" s="1148"/>
      <c r="F9" s="1148"/>
      <c r="G9" s="1148"/>
      <c r="H9" s="1148"/>
      <c r="I9" s="1148"/>
      <c r="J9" s="1148"/>
      <c r="K9" s="1148"/>
      <c r="L9" s="1148"/>
      <c r="M9" s="1148"/>
      <c r="N9" s="1148"/>
    </row>
    <row r="10" spans="1:16" ht="31" outlineLevel="1" x14ac:dyDescent="0.25">
      <c r="A10" s="1153">
        <v>2</v>
      </c>
      <c r="B10" s="1154" t="s">
        <v>913</v>
      </c>
      <c r="C10" s="1155" t="s">
        <v>914</v>
      </c>
      <c r="D10" s="1156">
        <v>41871</v>
      </c>
      <c r="E10" s="1157">
        <v>0.73120000000000007</v>
      </c>
      <c r="F10" s="1158">
        <v>0</v>
      </c>
      <c r="G10" s="1158">
        <v>0</v>
      </c>
      <c r="H10" s="1158">
        <f>F10-G10</f>
        <v>0</v>
      </c>
      <c r="I10" s="1158">
        <v>0</v>
      </c>
      <c r="J10" s="1158">
        <v>0</v>
      </c>
      <c r="K10" s="1158"/>
      <c r="L10" s="1158"/>
      <c r="M10" s="1158">
        <f>SUM(J10:L10)</f>
        <v>0</v>
      </c>
      <c r="N10" s="1158">
        <f>H10+I10-M10</f>
        <v>0</v>
      </c>
      <c r="O10" s="1159">
        <f>MAX(0,IF(M10=0,0,IF(G10+M10&lt;E10,M10,E10-G10)))</f>
        <v>0</v>
      </c>
      <c r="P10" s="1014">
        <f>M10-O10</f>
        <v>0</v>
      </c>
    </row>
    <row r="11" spans="1:16" ht="46.5" outlineLevel="1" x14ac:dyDescent="0.25">
      <c r="A11" s="1160">
        <v>2.6</v>
      </c>
      <c r="B11" s="1161" t="s">
        <v>1630</v>
      </c>
      <c r="C11" s="1162" t="s">
        <v>914</v>
      </c>
      <c r="D11" s="1081">
        <v>41871</v>
      </c>
      <c r="E11" s="1163">
        <v>0.2</v>
      </c>
      <c r="F11" s="1158">
        <v>0.1988615</v>
      </c>
      <c r="G11" s="1158">
        <v>0.1988615</v>
      </c>
      <c r="H11" s="1163">
        <f>F11-G11</f>
        <v>0</v>
      </c>
      <c r="I11" s="1163">
        <v>0</v>
      </c>
      <c r="J11" s="1163">
        <v>0</v>
      </c>
      <c r="K11" s="1163"/>
      <c r="L11" s="1163"/>
      <c r="M11" s="1163">
        <f>SUM(J11:L11)</f>
        <v>0</v>
      </c>
      <c r="N11" s="1163">
        <f>H11+I11-M11</f>
        <v>0</v>
      </c>
      <c r="O11" s="1159">
        <f t="shared" ref="O11:O41" si="0">MAX(0,IF(M11=0,0,IF(G11+M11&lt;E11,M11,E11-G11)))</f>
        <v>0</v>
      </c>
      <c r="P11" s="1014">
        <f t="shared" ref="P11:P41" si="1">M11-O11</f>
        <v>0</v>
      </c>
    </row>
    <row r="12" spans="1:16" ht="46.5" outlineLevel="1" x14ac:dyDescent="0.25">
      <c r="A12" s="1160">
        <v>2.7</v>
      </c>
      <c r="B12" s="1161" t="s">
        <v>1629</v>
      </c>
      <c r="C12" s="1162" t="s">
        <v>914</v>
      </c>
      <c r="D12" s="1081">
        <v>41871</v>
      </c>
      <c r="E12" s="1163">
        <v>0.2</v>
      </c>
      <c r="F12" s="1158">
        <v>0.1988615</v>
      </c>
      <c r="G12" s="1158">
        <v>0.1988615</v>
      </c>
      <c r="H12" s="1163">
        <f t="shared" ref="H12:H102" si="2">F12-G12</f>
        <v>0</v>
      </c>
      <c r="I12" s="1163">
        <v>0</v>
      </c>
      <c r="J12" s="1163">
        <v>0</v>
      </c>
      <c r="K12" s="1163"/>
      <c r="L12" s="1163"/>
      <c r="M12" s="1163">
        <f t="shared" ref="M12:M102" si="3">SUM(J12:L12)</f>
        <v>0</v>
      </c>
      <c r="N12" s="1163">
        <f t="shared" ref="N12:N102" si="4">H12+I12-M12</f>
        <v>0</v>
      </c>
      <c r="O12" s="1159">
        <f t="shared" si="0"/>
        <v>0</v>
      </c>
      <c r="P12" s="1014">
        <f t="shared" si="1"/>
        <v>0</v>
      </c>
    </row>
    <row r="13" spans="1:16" ht="29" outlineLevel="1" x14ac:dyDescent="0.25">
      <c r="A13" s="1160">
        <v>0</v>
      </c>
      <c r="B13" s="1161" t="s">
        <v>419</v>
      </c>
      <c r="C13" s="1162" t="s">
        <v>914</v>
      </c>
      <c r="D13" s="1081">
        <v>41871</v>
      </c>
      <c r="E13" s="1163">
        <v>0.33119999999999999</v>
      </c>
      <c r="F13" s="1158">
        <v>0</v>
      </c>
      <c r="G13" s="1158">
        <v>0</v>
      </c>
      <c r="H13" s="1163">
        <f t="shared" si="2"/>
        <v>0</v>
      </c>
      <c r="I13" s="1163">
        <v>0</v>
      </c>
      <c r="J13" s="1163">
        <v>0</v>
      </c>
      <c r="K13" s="1163"/>
      <c r="L13" s="1163"/>
      <c r="M13" s="1163">
        <f t="shared" si="3"/>
        <v>0</v>
      </c>
      <c r="N13" s="1163">
        <f t="shared" si="4"/>
        <v>0</v>
      </c>
      <c r="O13" s="1159">
        <f t="shared" si="0"/>
        <v>0</v>
      </c>
      <c r="P13" s="1014">
        <f t="shared" si="1"/>
        <v>0</v>
      </c>
    </row>
    <row r="14" spans="1:16" ht="31" outlineLevel="1" x14ac:dyDescent="0.25">
      <c r="A14" s="1153">
        <v>6</v>
      </c>
      <c r="B14" s="1154" t="s">
        <v>1628</v>
      </c>
      <c r="C14" s="1155" t="s">
        <v>1627</v>
      </c>
      <c r="D14" s="1156">
        <v>42997</v>
      </c>
      <c r="E14" s="1157">
        <v>15.104000000000001</v>
      </c>
      <c r="F14" s="1158">
        <v>0</v>
      </c>
      <c r="G14" s="1158">
        <v>0</v>
      </c>
      <c r="H14" s="1163">
        <f t="shared" si="2"/>
        <v>0</v>
      </c>
      <c r="I14" s="1163">
        <v>0</v>
      </c>
      <c r="J14" s="1163">
        <v>0</v>
      </c>
      <c r="K14" s="1163"/>
      <c r="L14" s="1163"/>
      <c r="M14" s="1163">
        <f t="shared" si="3"/>
        <v>0</v>
      </c>
      <c r="N14" s="1163">
        <f t="shared" si="4"/>
        <v>0</v>
      </c>
      <c r="O14" s="1159">
        <f t="shared" si="0"/>
        <v>0</v>
      </c>
      <c r="P14" s="1014">
        <f t="shared" si="1"/>
        <v>0</v>
      </c>
    </row>
    <row r="15" spans="1:16" ht="31" outlineLevel="1" x14ac:dyDescent="0.25">
      <c r="A15" s="1160">
        <v>6.1</v>
      </c>
      <c r="B15" s="1161" t="s">
        <v>1626</v>
      </c>
      <c r="C15" s="1162" t="s">
        <v>1627</v>
      </c>
      <c r="D15" s="1081">
        <v>42997</v>
      </c>
      <c r="E15" s="1163">
        <v>9.6780000000000008</v>
      </c>
      <c r="F15" s="1158">
        <v>0</v>
      </c>
      <c r="G15" s="1158">
        <v>0</v>
      </c>
      <c r="H15" s="1163">
        <f t="shared" si="2"/>
        <v>0</v>
      </c>
      <c r="I15" s="1163">
        <v>0</v>
      </c>
      <c r="J15" s="1163">
        <v>0</v>
      </c>
      <c r="K15" s="1163"/>
      <c r="L15" s="1163"/>
      <c r="M15" s="1163">
        <f t="shared" si="3"/>
        <v>0</v>
      </c>
      <c r="N15" s="1163">
        <f t="shared" si="4"/>
        <v>0</v>
      </c>
      <c r="O15" s="1159">
        <f t="shared" si="0"/>
        <v>0</v>
      </c>
      <c r="P15" s="1014">
        <f t="shared" si="1"/>
        <v>0</v>
      </c>
    </row>
    <row r="16" spans="1:16" ht="31" outlineLevel="1" x14ac:dyDescent="0.25">
      <c r="A16" s="1160">
        <v>0</v>
      </c>
      <c r="B16" s="1161" t="s">
        <v>1625</v>
      </c>
      <c r="C16" s="1162">
        <v>0</v>
      </c>
      <c r="D16" s="1081" t="s">
        <v>915</v>
      </c>
      <c r="E16" s="1163">
        <v>0</v>
      </c>
      <c r="F16" s="1158">
        <v>0</v>
      </c>
      <c r="G16" s="1158">
        <v>0</v>
      </c>
      <c r="H16" s="1163">
        <f t="shared" si="2"/>
        <v>0</v>
      </c>
      <c r="I16" s="1163">
        <v>0</v>
      </c>
      <c r="J16" s="1163">
        <v>0</v>
      </c>
      <c r="K16" s="1163"/>
      <c r="L16" s="1163"/>
      <c r="M16" s="1163">
        <f t="shared" si="3"/>
        <v>0</v>
      </c>
      <c r="N16" s="1163">
        <f t="shared" si="4"/>
        <v>0</v>
      </c>
      <c r="O16" s="1159"/>
      <c r="P16" s="1014"/>
    </row>
    <row r="17" spans="1:16" ht="31" outlineLevel="1" x14ac:dyDescent="0.25">
      <c r="A17" s="1160">
        <v>0</v>
      </c>
      <c r="B17" s="1161" t="s">
        <v>1624</v>
      </c>
      <c r="C17" s="1162">
        <v>0</v>
      </c>
      <c r="D17" s="1081" t="s">
        <v>915</v>
      </c>
      <c r="E17" s="1163">
        <v>0</v>
      </c>
      <c r="F17" s="1158">
        <v>0</v>
      </c>
      <c r="G17" s="1158">
        <v>0</v>
      </c>
      <c r="H17" s="1163">
        <f t="shared" si="2"/>
        <v>0</v>
      </c>
      <c r="I17" s="1163">
        <v>0</v>
      </c>
      <c r="J17" s="1163">
        <v>0</v>
      </c>
      <c r="K17" s="1163"/>
      <c r="L17" s="1163"/>
      <c r="M17" s="1163">
        <f t="shared" si="3"/>
        <v>0</v>
      </c>
      <c r="N17" s="1163">
        <f t="shared" si="4"/>
        <v>0</v>
      </c>
      <c r="O17" s="1159"/>
      <c r="P17" s="1014"/>
    </row>
    <row r="18" spans="1:16" ht="46.5" outlineLevel="1" x14ac:dyDescent="0.25">
      <c r="A18" s="1160">
        <v>6.2</v>
      </c>
      <c r="B18" s="1161" t="s">
        <v>1623</v>
      </c>
      <c r="C18" s="1162" t="s">
        <v>1627</v>
      </c>
      <c r="D18" s="1081">
        <v>42997</v>
      </c>
      <c r="E18" s="1163">
        <v>5.4260000000000002</v>
      </c>
      <c r="F18" s="1158">
        <v>0</v>
      </c>
      <c r="G18" s="1158">
        <v>0</v>
      </c>
      <c r="H18" s="1163">
        <f t="shared" si="2"/>
        <v>0</v>
      </c>
      <c r="I18" s="1163">
        <v>0</v>
      </c>
      <c r="J18" s="1163">
        <v>0</v>
      </c>
      <c r="K18" s="1163"/>
      <c r="L18" s="1163"/>
      <c r="M18" s="1163">
        <f t="shared" si="3"/>
        <v>0</v>
      </c>
      <c r="N18" s="1163">
        <f t="shared" si="4"/>
        <v>0</v>
      </c>
      <c r="O18" s="1159">
        <f t="shared" si="0"/>
        <v>0</v>
      </c>
      <c r="P18" s="1014">
        <f t="shared" si="1"/>
        <v>0</v>
      </c>
    </row>
    <row r="19" spans="1:16" ht="62" outlineLevel="1" x14ac:dyDescent="0.25">
      <c r="A19" s="1160">
        <v>0</v>
      </c>
      <c r="B19" s="1161" t="s">
        <v>1622</v>
      </c>
      <c r="C19" s="1162">
        <v>0</v>
      </c>
      <c r="D19" s="1081" t="s">
        <v>915</v>
      </c>
      <c r="E19" s="1163">
        <v>0</v>
      </c>
      <c r="F19" s="1158">
        <v>0</v>
      </c>
      <c r="G19" s="1158">
        <v>0</v>
      </c>
      <c r="H19" s="1163">
        <f t="shared" si="2"/>
        <v>0</v>
      </c>
      <c r="I19" s="1163">
        <v>0</v>
      </c>
      <c r="J19" s="1163">
        <v>0</v>
      </c>
      <c r="K19" s="1163"/>
      <c r="L19" s="1163"/>
      <c r="M19" s="1163">
        <f t="shared" si="3"/>
        <v>0</v>
      </c>
      <c r="N19" s="1163">
        <f t="shared" si="4"/>
        <v>0</v>
      </c>
      <c r="O19" s="1159"/>
      <c r="P19" s="1014"/>
    </row>
    <row r="20" spans="1:16" ht="31" outlineLevel="1" x14ac:dyDescent="0.25">
      <c r="A20" s="1160">
        <v>0</v>
      </c>
      <c r="B20" s="1161" t="s">
        <v>1621</v>
      </c>
      <c r="C20" s="1162">
        <v>0</v>
      </c>
      <c r="D20" s="1081" t="s">
        <v>915</v>
      </c>
      <c r="E20" s="1163">
        <v>0</v>
      </c>
      <c r="F20" s="1158">
        <v>0</v>
      </c>
      <c r="G20" s="1158">
        <v>0</v>
      </c>
      <c r="H20" s="1163">
        <f t="shared" si="2"/>
        <v>0</v>
      </c>
      <c r="I20" s="1163">
        <v>0</v>
      </c>
      <c r="J20" s="1163">
        <v>0</v>
      </c>
      <c r="K20" s="1163"/>
      <c r="L20" s="1163"/>
      <c r="M20" s="1163">
        <f t="shared" si="3"/>
        <v>0</v>
      </c>
      <c r="N20" s="1163">
        <f t="shared" si="4"/>
        <v>0</v>
      </c>
      <c r="O20" s="1159"/>
      <c r="P20" s="1014"/>
    </row>
    <row r="21" spans="1:16" ht="46.5" outlineLevel="1" x14ac:dyDescent="0.25">
      <c r="A21" s="1160">
        <v>0</v>
      </c>
      <c r="B21" s="1161" t="s">
        <v>1620</v>
      </c>
      <c r="C21" s="1162">
        <v>0</v>
      </c>
      <c r="D21" s="1081" t="s">
        <v>915</v>
      </c>
      <c r="E21" s="1163">
        <v>0</v>
      </c>
      <c r="F21" s="1158">
        <v>0</v>
      </c>
      <c r="G21" s="1158">
        <v>0</v>
      </c>
      <c r="H21" s="1163">
        <f t="shared" si="2"/>
        <v>0</v>
      </c>
      <c r="I21" s="1163">
        <v>0</v>
      </c>
      <c r="J21" s="1163">
        <v>0</v>
      </c>
      <c r="K21" s="1163"/>
      <c r="L21" s="1163"/>
      <c r="M21" s="1163">
        <f t="shared" si="3"/>
        <v>0</v>
      </c>
      <c r="N21" s="1163">
        <f t="shared" si="4"/>
        <v>0</v>
      </c>
      <c r="O21" s="1159"/>
      <c r="P21" s="1014"/>
    </row>
    <row r="22" spans="1:16" ht="31" outlineLevel="1" x14ac:dyDescent="0.25">
      <c r="A22" s="1153">
        <v>9</v>
      </c>
      <c r="B22" s="1154" t="s">
        <v>1619</v>
      </c>
      <c r="C22" s="1155" t="s">
        <v>1618</v>
      </c>
      <c r="D22" s="1156">
        <v>43061</v>
      </c>
      <c r="E22" s="1157">
        <v>14.566664273199997</v>
      </c>
      <c r="F22" s="1158">
        <v>0</v>
      </c>
      <c r="G22" s="1158">
        <v>0</v>
      </c>
      <c r="H22" s="1163">
        <f t="shared" si="2"/>
        <v>0</v>
      </c>
      <c r="I22" s="1163">
        <v>0</v>
      </c>
      <c r="J22" s="1163">
        <v>0</v>
      </c>
      <c r="K22" s="1163"/>
      <c r="L22" s="1163"/>
      <c r="M22" s="1163">
        <f t="shared" si="3"/>
        <v>0</v>
      </c>
      <c r="N22" s="1163">
        <f t="shared" si="4"/>
        <v>0</v>
      </c>
      <c r="O22" s="1159">
        <f t="shared" si="0"/>
        <v>0</v>
      </c>
      <c r="P22" s="1014">
        <f t="shared" si="1"/>
        <v>0</v>
      </c>
    </row>
    <row r="23" spans="1:16" ht="46.5" outlineLevel="1" x14ac:dyDescent="0.25">
      <c r="A23" s="1160">
        <v>9.1</v>
      </c>
      <c r="B23" s="1161" t="s">
        <v>1617</v>
      </c>
      <c r="C23" s="1162" t="s">
        <v>1618</v>
      </c>
      <c r="D23" s="1081">
        <v>43061</v>
      </c>
      <c r="E23" s="1163">
        <v>3.7363539351999999</v>
      </c>
      <c r="F23" s="1158">
        <v>1.5438087980000001</v>
      </c>
      <c r="G23" s="1158">
        <v>1.5438087980000001</v>
      </c>
      <c r="H23" s="1163">
        <f t="shared" si="2"/>
        <v>0</v>
      </c>
      <c r="I23" s="1163">
        <v>1.9667567530000001</v>
      </c>
      <c r="J23" s="1163">
        <v>2.4567567530000001</v>
      </c>
      <c r="K23" s="1163"/>
      <c r="L23" s="1163"/>
      <c r="M23" s="1163">
        <f t="shared" si="3"/>
        <v>2.4567567530000001</v>
      </c>
      <c r="N23" s="1163">
        <f t="shared" si="4"/>
        <v>-0.49</v>
      </c>
      <c r="O23" s="1159">
        <f t="shared" si="0"/>
        <v>2.1925451371999998</v>
      </c>
      <c r="P23" s="1014">
        <f t="shared" si="1"/>
        <v>0.2642116158000003</v>
      </c>
    </row>
    <row r="24" spans="1:16" ht="31" outlineLevel="1" x14ac:dyDescent="0.25">
      <c r="A24" s="1160">
        <v>9.1999999999999993</v>
      </c>
      <c r="B24" s="1161" t="s">
        <v>1616</v>
      </c>
      <c r="C24" s="1162" t="s">
        <v>1618</v>
      </c>
      <c r="D24" s="1081">
        <v>43061</v>
      </c>
      <c r="E24" s="1163">
        <v>0.50088049999999995</v>
      </c>
      <c r="F24" s="1158">
        <v>0.11901328100000001</v>
      </c>
      <c r="G24" s="1158">
        <v>0.11901328100000001</v>
      </c>
      <c r="H24" s="1163">
        <f t="shared" si="2"/>
        <v>0</v>
      </c>
      <c r="I24" s="1163">
        <v>0</v>
      </c>
      <c r="J24" s="1163">
        <v>0</v>
      </c>
      <c r="K24" s="1163"/>
      <c r="L24" s="1163"/>
      <c r="M24" s="1163">
        <f t="shared" si="3"/>
        <v>0</v>
      </c>
      <c r="N24" s="1163">
        <f t="shared" si="4"/>
        <v>0</v>
      </c>
      <c r="O24" s="1159">
        <f t="shared" si="0"/>
        <v>0</v>
      </c>
      <c r="P24" s="1014">
        <f t="shared" si="1"/>
        <v>0</v>
      </c>
    </row>
    <row r="25" spans="1:16" ht="31" outlineLevel="1" x14ac:dyDescent="0.25">
      <c r="A25" s="1160">
        <v>9.3000000000000007</v>
      </c>
      <c r="B25" s="1161" t="s">
        <v>1615</v>
      </c>
      <c r="C25" s="1162" t="s">
        <v>1618</v>
      </c>
      <c r="D25" s="1081">
        <v>43061</v>
      </c>
      <c r="E25" s="1163">
        <v>0.74832697199999998</v>
      </c>
      <c r="F25" s="1158">
        <v>0.17</v>
      </c>
      <c r="G25" s="1158">
        <v>0.17</v>
      </c>
      <c r="H25" s="1163">
        <f t="shared" si="2"/>
        <v>0</v>
      </c>
      <c r="I25" s="1163">
        <v>0</v>
      </c>
      <c r="J25" s="1163">
        <v>0</v>
      </c>
      <c r="K25" s="1163"/>
      <c r="L25" s="1163"/>
      <c r="M25" s="1163">
        <f t="shared" si="3"/>
        <v>0</v>
      </c>
      <c r="N25" s="1163">
        <f t="shared" si="4"/>
        <v>0</v>
      </c>
      <c r="O25" s="1159">
        <f t="shared" si="0"/>
        <v>0</v>
      </c>
      <c r="P25" s="1014">
        <f t="shared" si="1"/>
        <v>0</v>
      </c>
    </row>
    <row r="26" spans="1:16" ht="62" outlineLevel="1" x14ac:dyDescent="0.25">
      <c r="A26" s="1160">
        <v>9.4</v>
      </c>
      <c r="B26" s="1161" t="s">
        <v>1614</v>
      </c>
      <c r="C26" s="1162" t="s">
        <v>1618</v>
      </c>
      <c r="D26" s="1081">
        <v>43061</v>
      </c>
      <c r="E26" s="1163">
        <v>9.5811028659999984</v>
      </c>
      <c r="F26" s="1158">
        <v>2.2476739239999999</v>
      </c>
      <c r="G26" s="1158">
        <v>2.2476739239999999</v>
      </c>
      <c r="H26" s="1163">
        <f t="shared" si="2"/>
        <v>0</v>
      </c>
      <c r="I26" s="1163">
        <v>1.8060422469999999</v>
      </c>
      <c r="J26" s="1163">
        <v>1.8060422469999999</v>
      </c>
      <c r="K26" s="1163"/>
      <c r="L26" s="1163"/>
      <c r="M26" s="1163">
        <f t="shared" si="3"/>
        <v>1.8060422469999999</v>
      </c>
      <c r="N26" s="1163">
        <f t="shared" si="4"/>
        <v>0</v>
      </c>
      <c r="O26" s="1159">
        <f t="shared" si="0"/>
        <v>1.8060422469999999</v>
      </c>
      <c r="P26" s="1014">
        <f t="shared" si="1"/>
        <v>0</v>
      </c>
    </row>
    <row r="27" spans="1:16" ht="46.5" outlineLevel="1" x14ac:dyDescent="0.25">
      <c r="A27" s="1153">
        <v>10</v>
      </c>
      <c r="B27" s="1154" t="s">
        <v>1612</v>
      </c>
      <c r="C27" s="1155" t="s">
        <v>1613</v>
      </c>
      <c r="D27" s="1156">
        <v>43137</v>
      </c>
      <c r="E27" s="1157">
        <v>13.345000000000001</v>
      </c>
      <c r="F27" s="1158">
        <v>0</v>
      </c>
      <c r="G27" s="1158">
        <v>0</v>
      </c>
      <c r="H27" s="1163">
        <f t="shared" si="2"/>
        <v>0</v>
      </c>
      <c r="I27" s="1163">
        <v>0</v>
      </c>
      <c r="J27" s="1163">
        <v>0</v>
      </c>
      <c r="K27" s="1163"/>
      <c r="L27" s="1163"/>
      <c r="M27" s="1163">
        <f t="shared" si="3"/>
        <v>0</v>
      </c>
      <c r="N27" s="1163">
        <f t="shared" si="4"/>
        <v>0</v>
      </c>
      <c r="O27" s="1159">
        <f t="shared" si="0"/>
        <v>0</v>
      </c>
      <c r="P27" s="1014">
        <f t="shared" si="1"/>
        <v>0</v>
      </c>
    </row>
    <row r="28" spans="1:16" ht="46.5" outlineLevel="1" x14ac:dyDescent="0.25">
      <c r="A28" s="1160">
        <v>10.1</v>
      </c>
      <c r="B28" s="1161" t="s">
        <v>1612</v>
      </c>
      <c r="C28" s="1162" t="s">
        <v>1613</v>
      </c>
      <c r="D28" s="1081">
        <v>43137</v>
      </c>
      <c r="E28" s="1163">
        <v>13.345000000000001</v>
      </c>
      <c r="F28" s="1158">
        <v>0</v>
      </c>
      <c r="G28" s="1158">
        <v>0</v>
      </c>
      <c r="H28" s="1163">
        <f t="shared" si="2"/>
        <v>0</v>
      </c>
      <c r="I28" s="1163">
        <v>0</v>
      </c>
      <c r="J28" s="1163">
        <v>0</v>
      </c>
      <c r="K28" s="1163"/>
      <c r="L28" s="1163"/>
      <c r="M28" s="1163">
        <f t="shared" si="3"/>
        <v>0</v>
      </c>
      <c r="N28" s="1163">
        <f t="shared" si="4"/>
        <v>0</v>
      </c>
      <c r="O28" s="1159">
        <f t="shared" si="0"/>
        <v>0</v>
      </c>
      <c r="P28" s="1014">
        <f t="shared" si="1"/>
        <v>0</v>
      </c>
    </row>
    <row r="29" spans="1:16" ht="31" outlineLevel="1" x14ac:dyDescent="0.25">
      <c r="A29" s="1153">
        <v>14</v>
      </c>
      <c r="B29" s="1154" t="s">
        <v>922</v>
      </c>
      <c r="C29" s="1155" t="s">
        <v>923</v>
      </c>
      <c r="D29" s="1156">
        <v>44029</v>
      </c>
      <c r="E29" s="1157">
        <v>8.9129999999999985</v>
      </c>
      <c r="F29" s="1158">
        <v>0</v>
      </c>
      <c r="G29" s="1158">
        <v>0</v>
      </c>
      <c r="H29" s="1163">
        <f t="shared" si="2"/>
        <v>0</v>
      </c>
      <c r="I29" s="1163">
        <v>0</v>
      </c>
      <c r="J29" s="1163">
        <v>0</v>
      </c>
      <c r="K29" s="1163"/>
      <c r="L29" s="1163"/>
      <c r="M29" s="1163">
        <f t="shared" si="3"/>
        <v>0</v>
      </c>
      <c r="N29" s="1163">
        <f t="shared" si="4"/>
        <v>0</v>
      </c>
      <c r="O29" s="1159">
        <f t="shared" si="0"/>
        <v>0</v>
      </c>
      <c r="P29" s="1014">
        <f t="shared" si="1"/>
        <v>0</v>
      </c>
    </row>
    <row r="30" spans="1:16" ht="31" outlineLevel="1" x14ac:dyDescent="0.25">
      <c r="A30" s="1164">
        <v>14.1</v>
      </c>
      <c r="B30" s="1161" t="s">
        <v>924</v>
      </c>
      <c r="C30" s="1162" t="s">
        <v>923</v>
      </c>
      <c r="D30" s="1081">
        <v>44029</v>
      </c>
      <c r="E30" s="1163">
        <v>0.10199999999999999</v>
      </c>
      <c r="F30" s="1158">
        <v>0</v>
      </c>
      <c r="G30" s="1158">
        <v>0</v>
      </c>
      <c r="H30" s="1163">
        <f t="shared" si="2"/>
        <v>0</v>
      </c>
      <c r="I30" s="1163">
        <v>0</v>
      </c>
      <c r="J30" s="1163">
        <v>0</v>
      </c>
      <c r="K30" s="1163"/>
      <c r="L30" s="1163"/>
      <c r="M30" s="1163">
        <f t="shared" si="3"/>
        <v>0</v>
      </c>
      <c r="N30" s="1163">
        <f t="shared" si="4"/>
        <v>0</v>
      </c>
      <c r="O30" s="1159">
        <f t="shared" si="0"/>
        <v>0</v>
      </c>
      <c r="P30" s="1014">
        <f t="shared" si="1"/>
        <v>0</v>
      </c>
    </row>
    <row r="31" spans="1:16" ht="31" outlineLevel="1" x14ac:dyDescent="0.25">
      <c r="A31" s="1164">
        <v>14.2</v>
      </c>
      <c r="B31" s="1161" t="s">
        <v>1611</v>
      </c>
      <c r="C31" s="1162" t="s">
        <v>923</v>
      </c>
      <c r="D31" s="1081">
        <v>44029</v>
      </c>
      <c r="E31" s="1163">
        <v>0.17299999999999999</v>
      </c>
      <c r="F31" s="1158">
        <v>0</v>
      </c>
      <c r="G31" s="1158">
        <v>0</v>
      </c>
      <c r="H31" s="1163">
        <f t="shared" si="2"/>
        <v>0</v>
      </c>
      <c r="I31" s="1163">
        <v>0</v>
      </c>
      <c r="J31" s="1163">
        <v>0</v>
      </c>
      <c r="K31" s="1163"/>
      <c r="L31" s="1163"/>
      <c r="M31" s="1163">
        <f t="shared" si="3"/>
        <v>0</v>
      </c>
      <c r="N31" s="1163">
        <f t="shared" si="4"/>
        <v>0</v>
      </c>
      <c r="O31" s="1159">
        <f t="shared" si="0"/>
        <v>0</v>
      </c>
      <c r="P31" s="1014">
        <f t="shared" si="1"/>
        <v>0</v>
      </c>
    </row>
    <row r="32" spans="1:16" ht="31" outlineLevel="1" x14ac:dyDescent="0.25">
      <c r="A32" s="1164">
        <v>14.3</v>
      </c>
      <c r="B32" s="1161" t="s">
        <v>1610</v>
      </c>
      <c r="C32" s="1162" t="s">
        <v>923</v>
      </c>
      <c r="D32" s="1081">
        <v>44029</v>
      </c>
      <c r="E32" s="1163">
        <v>0.17299999999999999</v>
      </c>
      <c r="F32" s="1158">
        <v>0</v>
      </c>
      <c r="G32" s="1158">
        <v>0</v>
      </c>
      <c r="H32" s="1163">
        <f t="shared" si="2"/>
        <v>0</v>
      </c>
      <c r="I32" s="1163">
        <v>0</v>
      </c>
      <c r="J32" s="1163">
        <v>0</v>
      </c>
      <c r="K32" s="1163"/>
      <c r="L32" s="1163"/>
      <c r="M32" s="1163">
        <f t="shared" si="3"/>
        <v>0</v>
      </c>
      <c r="N32" s="1163">
        <f t="shared" si="4"/>
        <v>0</v>
      </c>
      <c r="O32" s="1159">
        <f t="shared" si="0"/>
        <v>0</v>
      </c>
      <c r="P32" s="1014">
        <f t="shared" si="1"/>
        <v>0</v>
      </c>
    </row>
    <row r="33" spans="1:16" ht="29" outlineLevel="1" x14ac:dyDescent="0.25">
      <c r="A33" s="1164">
        <v>14.4</v>
      </c>
      <c r="B33" s="1161" t="s">
        <v>1609</v>
      </c>
      <c r="C33" s="1162" t="s">
        <v>923</v>
      </c>
      <c r="D33" s="1081">
        <v>44029</v>
      </c>
      <c r="E33" s="1163">
        <v>5.8999999999999997E-2</v>
      </c>
      <c r="F33" s="1158">
        <v>0</v>
      </c>
      <c r="G33" s="1158">
        <v>0</v>
      </c>
      <c r="H33" s="1163">
        <f t="shared" si="2"/>
        <v>0</v>
      </c>
      <c r="I33" s="1163">
        <v>0</v>
      </c>
      <c r="J33" s="1163">
        <v>0</v>
      </c>
      <c r="K33" s="1163"/>
      <c r="L33" s="1163"/>
      <c r="M33" s="1163">
        <f t="shared" si="3"/>
        <v>0</v>
      </c>
      <c r="N33" s="1163">
        <f t="shared" si="4"/>
        <v>0</v>
      </c>
      <c r="O33" s="1159">
        <f t="shared" si="0"/>
        <v>0</v>
      </c>
      <c r="P33" s="1014">
        <f t="shared" si="1"/>
        <v>0</v>
      </c>
    </row>
    <row r="34" spans="1:16" ht="31" outlineLevel="1" x14ac:dyDescent="0.25">
      <c r="A34" s="1164">
        <v>14.5</v>
      </c>
      <c r="B34" s="1161" t="s">
        <v>1608</v>
      </c>
      <c r="C34" s="1162" t="s">
        <v>923</v>
      </c>
      <c r="D34" s="1081">
        <v>44029</v>
      </c>
      <c r="E34" s="1163">
        <v>1.954</v>
      </c>
      <c r="F34" s="1158">
        <v>0</v>
      </c>
      <c r="G34" s="1158">
        <v>0</v>
      </c>
      <c r="H34" s="1163">
        <f t="shared" si="2"/>
        <v>0</v>
      </c>
      <c r="I34" s="1163">
        <v>0</v>
      </c>
      <c r="J34" s="1163">
        <v>0</v>
      </c>
      <c r="K34" s="1163"/>
      <c r="L34" s="1163"/>
      <c r="M34" s="1163">
        <f t="shared" si="3"/>
        <v>0</v>
      </c>
      <c r="N34" s="1163">
        <f t="shared" si="4"/>
        <v>0</v>
      </c>
      <c r="O34" s="1159">
        <f t="shared" si="0"/>
        <v>0</v>
      </c>
      <c r="P34" s="1014">
        <f t="shared" si="1"/>
        <v>0</v>
      </c>
    </row>
    <row r="35" spans="1:16" ht="46.5" outlineLevel="1" x14ac:dyDescent="0.25">
      <c r="A35" s="1164">
        <v>14.6</v>
      </c>
      <c r="B35" s="1161" t="s">
        <v>1607</v>
      </c>
      <c r="C35" s="1162" t="s">
        <v>923</v>
      </c>
      <c r="D35" s="1081">
        <v>44029</v>
      </c>
      <c r="E35" s="1163">
        <v>2.0270000000000001</v>
      </c>
      <c r="F35" s="1158">
        <v>0</v>
      </c>
      <c r="G35" s="1158">
        <v>0</v>
      </c>
      <c r="H35" s="1163">
        <f t="shared" si="2"/>
        <v>0</v>
      </c>
      <c r="I35" s="1163">
        <v>0</v>
      </c>
      <c r="J35" s="1163">
        <v>0</v>
      </c>
      <c r="K35" s="1163"/>
      <c r="L35" s="1163"/>
      <c r="M35" s="1163">
        <f t="shared" si="3"/>
        <v>0</v>
      </c>
      <c r="N35" s="1163">
        <f t="shared" si="4"/>
        <v>0</v>
      </c>
      <c r="O35" s="1159">
        <f t="shared" si="0"/>
        <v>0</v>
      </c>
      <c r="P35" s="1014">
        <f t="shared" si="1"/>
        <v>0</v>
      </c>
    </row>
    <row r="36" spans="1:16" ht="31" outlineLevel="1" x14ac:dyDescent="0.25">
      <c r="A36" s="1164">
        <v>14.7</v>
      </c>
      <c r="B36" s="1161" t="s">
        <v>1606</v>
      </c>
      <c r="C36" s="1162" t="s">
        <v>923</v>
      </c>
      <c r="D36" s="1081">
        <v>44029</v>
      </c>
      <c r="E36" s="1163">
        <v>0.87</v>
      </c>
      <c r="F36" s="1158">
        <v>0</v>
      </c>
      <c r="G36" s="1158">
        <v>0</v>
      </c>
      <c r="H36" s="1163">
        <f t="shared" si="2"/>
        <v>0</v>
      </c>
      <c r="I36" s="1163">
        <v>0</v>
      </c>
      <c r="J36" s="1163">
        <v>0</v>
      </c>
      <c r="K36" s="1163"/>
      <c r="L36" s="1163"/>
      <c r="M36" s="1163">
        <f t="shared" si="3"/>
        <v>0</v>
      </c>
      <c r="N36" s="1163">
        <f t="shared" si="4"/>
        <v>0</v>
      </c>
      <c r="O36" s="1159">
        <f t="shared" si="0"/>
        <v>0</v>
      </c>
      <c r="P36" s="1014">
        <f t="shared" si="1"/>
        <v>0</v>
      </c>
    </row>
    <row r="37" spans="1:16" ht="31" outlineLevel="1" x14ac:dyDescent="0.25">
      <c r="A37" s="1164">
        <v>14.8</v>
      </c>
      <c r="B37" s="1161" t="s">
        <v>1605</v>
      </c>
      <c r="C37" s="1162" t="s">
        <v>923</v>
      </c>
      <c r="D37" s="1081">
        <v>44029</v>
      </c>
      <c r="E37" s="1163">
        <v>0.46700000000000003</v>
      </c>
      <c r="F37" s="1158">
        <v>0</v>
      </c>
      <c r="G37" s="1158">
        <v>0</v>
      </c>
      <c r="H37" s="1163">
        <f t="shared" si="2"/>
        <v>0</v>
      </c>
      <c r="I37" s="1163">
        <v>0</v>
      </c>
      <c r="J37" s="1163">
        <v>0</v>
      </c>
      <c r="K37" s="1163"/>
      <c r="L37" s="1163"/>
      <c r="M37" s="1163">
        <f t="shared" si="3"/>
        <v>0</v>
      </c>
      <c r="N37" s="1163">
        <f t="shared" si="4"/>
        <v>0</v>
      </c>
      <c r="O37" s="1159">
        <f t="shared" si="0"/>
        <v>0</v>
      </c>
      <c r="P37" s="1014">
        <f t="shared" si="1"/>
        <v>0</v>
      </c>
    </row>
    <row r="38" spans="1:16" ht="46.5" outlineLevel="1" x14ac:dyDescent="0.25">
      <c r="A38" s="1164">
        <v>14.9</v>
      </c>
      <c r="B38" s="1161" t="s">
        <v>1604</v>
      </c>
      <c r="C38" s="1162" t="s">
        <v>923</v>
      </c>
      <c r="D38" s="1081">
        <v>44029</v>
      </c>
      <c r="E38" s="1163">
        <v>0.69100000000000006</v>
      </c>
      <c r="F38" s="1158">
        <v>0</v>
      </c>
      <c r="G38" s="1158">
        <v>0</v>
      </c>
      <c r="H38" s="1163">
        <f t="shared" si="2"/>
        <v>0</v>
      </c>
      <c r="I38" s="1163">
        <v>0</v>
      </c>
      <c r="J38" s="1163">
        <v>0</v>
      </c>
      <c r="K38" s="1163"/>
      <c r="L38" s="1163"/>
      <c r="M38" s="1163">
        <f t="shared" si="3"/>
        <v>0</v>
      </c>
      <c r="N38" s="1163">
        <f t="shared" si="4"/>
        <v>0</v>
      </c>
      <c r="O38" s="1159">
        <f t="shared" si="0"/>
        <v>0</v>
      </c>
      <c r="P38" s="1014">
        <f t="shared" si="1"/>
        <v>0</v>
      </c>
    </row>
    <row r="39" spans="1:16" ht="31" outlineLevel="1" x14ac:dyDescent="0.25">
      <c r="A39" s="1165">
        <v>14.1</v>
      </c>
      <c r="B39" s="1161" t="s">
        <v>1603</v>
      </c>
      <c r="C39" s="1162" t="s">
        <v>923</v>
      </c>
      <c r="D39" s="1081">
        <v>44029</v>
      </c>
      <c r="E39" s="1163">
        <v>1.5469999999999999</v>
      </c>
      <c r="F39" s="1158">
        <v>0</v>
      </c>
      <c r="G39" s="1158">
        <v>0</v>
      </c>
      <c r="H39" s="1163">
        <f t="shared" si="2"/>
        <v>0</v>
      </c>
      <c r="I39" s="1163">
        <v>0</v>
      </c>
      <c r="J39" s="1163">
        <v>0</v>
      </c>
      <c r="K39" s="1163"/>
      <c r="L39" s="1163"/>
      <c r="M39" s="1163">
        <f t="shared" si="3"/>
        <v>0</v>
      </c>
      <c r="N39" s="1163">
        <f t="shared" si="4"/>
        <v>0</v>
      </c>
      <c r="O39" s="1159">
        <f t="shared" si="0"/>
        <v>0</v>
      </c>
      <c r="P39" s="1014">
        <f t="shared" si="1"/>
        <v>0</v>
      </c>
    </row>
    <row r="40" spans="1:16" ht="29" outlineLevel="1" x14ac:dyDescent="0.25">
      <c r="A40" s="1160">
        <v>0</v>
      </c>
      <c r="B40" s="1161" t="s">
        <v>419</v>
      </c>
      <c r="C40" s="1162" t="s">
        <v>923</v>
      </c>
      <c r="D40" s="1081">
        <v>44029</v>
      </c>
      <c r="E40" s="1163">
        <v>0.85</v>
      </c>
      <c r="F40" s="1158">
        <v>0</v>
      </c>
      <c r="G40" s="1158">
        <v>0</v>
      </c>
      <c r="H40" s="1163">
        <f t="shared" si="2"/>
        <v>0</v>
      </c>
      <c r="I40" s="1163">
        <v>0</v>
      </c>
      <c r="J40" s="1163">
        <v>0</v>
      </c>
      <c r="K40" s="1163"/>
      <c r="L40" s="1163"/>
      <c r="M40" s="1163">
        <f t="shared" si="3"/>
        <v>0</v>
      </c>
      <c r="N40" s="1163">
        <f t="shared" si="4"/>
        <v>0</v>
      </c>
      <c r="O40" s="1159">
        <f t="shared" si="0"/>
        <v>0</v>
      </c>
      <c r="P40" s="1014">
        <f t="shared" si="1"/>
        <v>0</v>
      </c>
    </row>
    <row r="41" spans="1:16" ht="15.5" outlineLevel="1" x14ac:dyDescent="0.25">
      <c r="A41" s="1160">
        <v>0</v>
      </c>
      <c r="B41" s="1161">
        <v>0</v>
      </c>
      <c r="C41" s="1162">
        <v>0</v>
      </c>
      <c r="D41" s="1081" t="s">
        <v>915</v>
      </c>
      <c r="E41" s="1163">
        <v>0</v>
      </c>
      <c r="F41" s="1158">
        <v>0</v>
      </c>
      <c r="G41" s="1158">
        <v>0</v>
      </c>
      <c r="H41" s="1163">
        <f t="shared" si="2"/>
        <v>0</v>
      </c>
      <c r="I41" s="1163">
        <v>0</v>
      </c>
      <c r="J41" s="1163">
        <v>0</v>
      </c>
      <c r="K41" s="1163"/>
      <c r="L41" s="1163"/>
      <c r="M41" s="1163">
        <f t="shared" si="3"/>
        <v>0</v>
      </c>
      <c r="N41" s="1163">
        <f t="shared" si="4"/>
        <v>0</v>
      </c>
      <c r="O41" s="1159">
        <f t="shared" si="0"/>
        <v>0</v>
      </c>
      <c r="P41" s="1014">
        <f t="shared" si="1"/>
        <v>0</v>
      </c>
    </row>
    <row r="42" spans="1:16" ht="18.5" outlineLevel="1" x14ac:dyDescent="0.25">
      <c r="A42" s="1047">
        <v>0</v>
      </c>
      <c r="B42" s="1166" t="s">
        <v>1602</v>
      </c>
      <c r="C42" s="1162">
        <v>0</v>
      </c>
      <c r="D42" s="1081" t="s">
        <v>915</v>
      </c>
      <c r="E42" s="1163">
        <v>0</v>
      </c>
      <c r="F42" s="1158">
        <v>0</v>
      </c>
      <c r="G42" s="1158">
        <v>0</v>
      </c>
      <c r="H42" s="1163">
        <f t="shared" si="2"/>
        <v>0</v>
      </c>
      <c r="I42" s="1163">
        <v>0</v>
      </c>
      <c r="J42" s="1163">
        <v>0</v>
      </c>
      <c r="K42" s="1163"/>
      <c r="L42" s="1163"/>
      <c r="M42" s="1163">
        <f t="shared" si="3"/>
        <v>0</v>
      </c>
      <c r="N42" s="1163">
        <f t="shared" si="4"/>
        <v>0</v>
      </c>
    </row>
    <row r="43" spans="1:16" ht="74" outlineLevel="1" x14ac:dyDescent="0.25">
      <c r="A43" s="1044">
        <v>1</v>
      </c>
      <c r="B43" s="1167" t="s">
        <v>1676</v>
      </c>
      <c r="C43" s="1162">
        <v>0</v>
      </c>
      <c r="D43" s="1081" t="s">
        <v>915</v>
      </c>
      <c r="E43" s="1163">
        <v>0</v>
      </c>
      <c r="F43" s="1158">
        <v>0</v>
      </c>
      <c r="G43" s="1158">
        <v>0</v>
      </c>
      <c r="H43" s="1163">
        <f t="shared" si="2"/>
        <v>0</v>
      </c>
      <c r="I43" s="1163">
        <v>0</v>
      </c>
      <c r="J43" s="1163">
        <v>0</v>
      </c>
      <c r="K43" s="1163"/>
      <c r="L43" s="1163"/>
      <c r="M43" s="1163">
        <f t="shared" si="3"/>
        <v>0</v>
      </c>
      <c r="N43" s="1163">
        <f t="shared" si="4"/>
        <v>0</v>
      </c>
    </row>
    <row r="44" spans="1:16" ht="37" outlineLevel="1" x14ac:dyDescent="0.25">
      <c r="A44" s="1044">
        <v>2</v>
      </c>
      <c r="B44" s="1167" t="s">
        <v>1599</v>
      </c>
      <c r="C44" s="1162">
        <v>0</v>
      </c>
      <c r="D44" s="1081" t="s">
        <v>915</v>
      </c>
      <c r="E44" s="1163">
        <v>0</v>
      </c>
      <c r="F44" s="1158">
        <v>0</v>
      </c>
      <c r="G44" s="1158">
        <v>0</v>
      </c>
      <c r="H44" s="1163">
        <f t="shared" si="2"/>
        <v>0</v>
      </c>
      <c r="I44" s="1163">
        <v>0</v>
      </c>
      <c r="J44" s="1163">
        <v>0</v>
      </c>
      <c r="K44" s="1163"/>
      <c r="L44" s="1163"/>
      <c r="M44" s="1163">
        <f t="shared" si="3"/>
        <v>0</v>
      </c>
      <c r="N44" s="1163">
        <f t="shared" si="4"/>
        <v>0</v>
      </c>
    </row>
    <row r="45" spans="1:16" ht="55.5" outlineLevel="1" x14ac:dyDescent="0.25">
      <c r="A45" s="1044">
        <v>3</v>
      </c>
      <c r="B45" s="1167" t="s">
        <v>1598</v>
      </c>
      <c r="C45" s="1162">
        <v>0</v>
      </c>
      <c r="D45" s="1081" t="s">
        <v>915</v>
      </c>
      <c r="E45" s="1163">
        <v>0</v>
      </c>
      <c r="F45" s="1158">
        <v>0</v>
      </c>
      <c r="G45" s="1158">
        <v>0</v>
      </c>
      <c r="H45" s="1163">
        <f t="shared" si="2"/>
        <v>0</v>
      </c>
      <c r="I45" s="1163">
        <v>0</v>
      </c>
      <c r="J45" s="1163">
        <v>0</v>
      </c>
      <c r="K45" s="1163"/>
      <c r="L45" s="1163"/>
      <c r="M45" s="1163">
        <f t="shared" si="3"/>
        <v>0</v>
      </c>
      <c r="N45" s="1163">
        <f t="shared" si="4"/>
        <v>0</v>
      </c>
    </row>
    <row r="46" spans="1:16" ht="37" outlineLevel="1" x14ac:dyDescent="0.25">
      <c r="A46" s="1168">
        <v>4</v>
      </c>
      <c r="B46" s="1167" t="s">
        <v>1597</v>
      </c>
      <c r="C46" s="1162">
        <v>0</v>
      </c>
      <c r="D46" s="1081" t="s">
        <v>915</v>
      </c>
      <c r="E46" s="1163">
        <v>0</v>
      </c>
      <c r="F46" s="1158">
        <v>0</v>
      </c>
      <c r="G46" s="1158">
        <v>0</v>
      </c>
      <c r="H46" s="1163">
        <f t="shared" si="2"/>
        <v>0</v>
      </c>
      <c r="I46" s="1163">
        <v>0</v>
      </c>
      <c r="J46" s="1163">
        <v>0</v>
      </c>
      <c r="K46" s="1163"/>
      <c r="L46" s="1163"/>
      <c r="M46" s="1163">
        <f t="shared" si="3"/>
        <v>0</v>
      </c>
      <c r="N46" s="1163">
        <f t="shared" si="4"/>
        <v>0</v>
      </c>
    </row>
    <row r="47" spans="1:16" ht="15.5" outlineLevel="1" x14ac:dyDescent="0.25">
      <c r="A47" s="1011">
        <v>0</v>
      </c>
      <c r="B47" s="1150" t="s">
        <v>1595</v>
      </c>
      <c r="C47" s="1162">
        <v>0</v>
      </c>
      <c r="D47" s="1081" t="s">
        <v>915</v>
      </c>
      <c r="E47" s="1163">
        <v>0</v>
      </c>
      <c r="F47" s="1158">
        <v>0</v>
      </c>
      <c r="G47" s="1158">
        <v>0</v>
      </c>
      <c r="H47" s="1163">
        <f t="shared" si="2"/>
        <v>0</v>
      </c>
      <c r="I47" s="1163">
        <v>0</v>
      </c>
      <c r="J47" s="1163">
        <v>0</v>
      </c>
      <c r="K47" s="1163"/>
      <c r="L47" s="1163"/>
      <c r="M47" s="1163">
        <f t="shared" si="3"/>
        <v>0</v>
      </c>
      <c r="N47" s="1163">
        <f t="shared" si="4"/>
        <v>0</v>
      </c>
    </row>
    <row r="48" spans="1:16" ht="15.5" outlineLevel="1" x14ac:dyDescent="0.25">
      <c r="A48" s="1011">
        <v>0</v>
      </c>
      <c r="B48" s="1150" t="s">
        <v>1594</v>
      </c>
      <c r="C48" s="1162">
        <v>0</v>
      </c>
      <c r="D48" s="1081" t="s">
        <v>915</v>
      </c>
      <c r="E48" s="1163">
        <v>0</v>
      </c>
      <c r="F48" s="1158">
        <v>0</v>
      </c>
      <c r="G48" s="1158">
        <v>0</v>
      </c>
      <c r="H48" s="1163">
        <f t="shared" si="2"/>
        <v>0</v>
      </c>
      <c r="I48" s="1163">
        <v>0</v>
      </c>
      <c r="J48" s="1163">
        <v>0</v>
      </c>
      <c r="K48" s="1163"/>
      <c r="L48" s="1163"/>
      <c r="M48" s="1163">
        <f t="shared" si="3"/>
        <v>0</v>
      </c>
      <c r="N48" s="1163">
        <f t="shared" si="4"/>
        <v>0</v>
      </c>
    </row>
    <row r="49" spans="1:14" ht="31" outlineLevel="1" x14ac:dyDescent="0.25">
      <c r="A49" s="1160">
        <v>1</v>
      </c>
      <c r="B49" s="1169" t="s">
        <v>1593</v>
      </c>
      <c r="C49" s="1162">
        <v>0</v>
      </c>
      <c r="D49" s="1081" t="s">
        <v>915</v>
      </c>
      <c r="E49" s="1163">
        <v>0</v>
      </c>
      <c r="F49" s="1158">
        <v>0</v>
      </c>
      <c r="G49" s="1158">
        <v>0</v>
      </c>
      <c r="H49" s="1163">
        <f t="shared" si="2"/>
        <v>0</v>
      </c>
      <c r="I49" s="1163">
        <v>0</v>
      </c>
      <c r="J49" s="1163">
        <v>0</v>
      </c>
      <c r="K49" s="1163"/>
      <c r="L49" s="1163"/>
      <c r="M49" s="1163">
        <f t="shared" si="3"/>
        <v>0</v>
      </c>
      <c r="N49" s="1163">
        <f t="shared" si="4"/>
        <v>0</v>
      </c>
    </row>
    <row r="50" spans="1:14" ht="31" outlineLevel="1" x14ac:dyDescent="0.25">
      <c r="A50" s="1160">
        <v>2</v>
      </c>
      <c r="B50" s="1169" t="s">
        <v>1591</v>
      </c>
      <c r="C50" s="1162">
        <v>0</v>
      </c>
      <c r="D50" s="1081" t="s">
        <v>915</v>
      </c>
      <c r="E50" s="1163">
        <v>0</v>
      </c>
      <c r="F50" s="1158">
        <v>0</v>
      </c>
      <c r="G50" s="1158">
        <v>0</v>
      </c>
      <c r="H50" s="1163">
        <f t="shared" si="2"/>
        <v>0</v>
      </c>
      <c r="I50" s="1163">
        <v>0</v>
      </c>
      <c r="J50" s="1163">
        <v>0</v>
      </c>
      <c r="K50" s="1163"/>
      <c r="L50" s="1163"/>
      <c r="M50" s="1163">
        <f t="shared" si="3"/>
        <v>0</v>
      </c>
      <c r="N50" s="1163">
        <f t="shared" si="4"/>
        <v>0</v>
      </c>
    </row>
    <row r="51" spans="1:14" ht="15.5" outlineLevel="1" x14ac:dyDescent="0.25">
      <c r="A51" s="1160">
        <v>3</v>
      </c>
      <c r="B51" s="1169" t="s">
        <v>1590</v>
      </c>
      <c r="C51" s="1162">
        <v>0</v>
      </c>
      <c r="D51" s="1081" t="s">
        <v>915</v>
      </c>
      <c r="E51" s="1163">
        <v>0</v>
      </c>
      <c r="F51" s="1158">
        <v>0</v>
      </c>
      <c r="G51" s="1158">
        <v>0</v>
      </c>
      <c r="H51" s="1163">
        <f t="shared" si="2"/>
        <v>0</v>
      </c>
      <c r="I51" s="1163">
        <v>0</v>
      </c>
      <c r="J51" s="1163">
        <v>0</v>
      </c>
      <c r="K51" s="1163"/>
      <c r="L51" s="1163"/>
      <c r="M51" s="1163">
        <f t="shared" si="3"/>
        <v>0</v>
      </c>
      <c r="N51" s="1163">
        <f t="shared" si="4"/>
        <v>0</v>
      </c>
    </row>
    <row r="52" spans="1:14" ht="15.5" outlineLevel="1" x14ac:dyDescent="0.25">
      <c r="A52" s="1160">
        <v>4</v>
      </c>
      <c r="B52" s="1169" t="s">
        <v>1588</v>
      </c>
      <c r="C52" s="1162">
        <v>0</v>
      </c>
      <c r="D52" s="1081" t="s">
        <v>915</v>
      </c>
      <c r="E52" s="1163">
        <v>0</v>
      </c>
      <c r="F52" s="1158">
        <v>0</v>
      </c>
      <c r="G52" s="1158">
        <v>0</v>
      </c>
      <c r="H52" s="1163">
        <f t="shared" si="2"/>
        <v>0</v>
      </c>
      <c r="I52" s="1163">
        <v>0</v>
      </c>
      <c r="J52" s="1163">
        <v>0</v>
      </c>
      <c r="K52" s="1163"/>
      <c r="L52" s="1163"/>
      <c r="M52" s="1163">
        <f t="shared" si="3"/>
        <v>0</v>
      </c>
      <c r="N52" s="1163">
        <f t="shared" si="4"/>
        <v>0</v>
      </c>
    </row>
    <row r="53" spans="1:14" ht="15.5" outlineLevel="1" x14ac:dyDescent="0.25">
      <c r="A53" s="1160">
        <v>0</v>
      </c>
      <c r="B53" s="1150" t="s">
        <v>1587</v>
      </c>
      <c r="C53" s="1162">
        <v>0</v>
      </c>
      <c r="D53" s="1081" t="s">
        <v>915</v>
      </c>
      <c r="E53" s="1163">
        <v>0</v>
      </c>
      <c r="F53" s="1158">
        <v>0</v>
      </c>
      <c r="G53" s="1158">
        <v>0</v>
      </c>
      <c r="H53" s="1163">
        <f t="shared" si="2"/>
        <v>0</v>
      </c>
      <c r="I53" s="1163">
        <v>0</v>
      </c>
      <c r="J53" s="1163">
        <v>0</v>
      </c>
      <c r="K53" s="1163"/>
      <c r="L53" s="1163"/>
      <c r="M53" s="1163">
        <f t="shared" si="3"/>
        <v>0</v>
      </c>
      <c r="N53" s="1163">
        <f t="shared" si="4"/>
        <v>0</v>
      </c>
    </row>
    <row r="54" spans="1:14" ht="31" outlineLevel="1" x14ac:dyDescent="0.25">
      <c r="A54" s="1011">
        <v>1</v>
      </c>
      <c r="B54" s="1170" t="s">
        <v>1677</v>
      </c>
      <c r="C54" s="1162">
        <v>0</v>
      </c>
      <c r="D54" s="1081" t="s">
        <v>915</v>
      </c>
      <c r="E54" s="1163">
        <v>0</v>
      </c>
      <c r="F54" s="1158">
        <v>0</v>
      </c>
      <c r="G54" s="1158">
        <v>0</v>
      </c>
      <c r="H54" s="1163">
        <f t="shared" si="2"/>
        <v>0</v>
      </c>
      <c r="I54" s="1163">
        <v>0</v>
      </c>
      <c r="J54" s="1163">
        <v>0</v>
      </c>
      <c r="K54" s="1163"/>
      <c r="L54" s="1163"/>
      <c r="M54" s="1163">
        <f t="shared" si="3"/>
        <v>0</v>
      </c>
      <c r="N54" s="1163">
        <f t="shared" si="4"/>
        <v>0</v>
      </c>
    </row>
    <row r="55" spans="1:14" ht="31" outlineLevel="1" x14ac:dyDescent="0.25">
      <c r="A55" s="1011">
        <v>2</v>
      </c>
      <c r="B55" s="1169" t="s">
        <v>1584</v>
      </c>
      <c r="C55" s="1162">
        <v>0</v>
      </c>
      <c r="D55" s="1081" t="s">
        <v>915</v>
      </c>
      <c r="E55" s="1163">
        <v>0</v>
      </c>
      <c r="F55" s="1158">
        <v>0</v>
      </c>
      <c r="G55" s="1158">
        <v>0</v>
      </c>
      <c r="H55" s="1163">
        <f t="shared" si="2"/>
        <v>0</v>
      </c>
      <c r="I55" s="1163">
        <v>0</v>
      </c>
      <c r="J55" s="1163">
        <v>0</v>
      </c>
      <c r="K55" s="1163"/>
      <c r="L55" s="1163"/>
      <c r="M55" s="1163">
        <f t="shared" si="3"/>
        <v>0</v>
      </c>
      <c r="N55" s="1163">
        <f t="shared" si="4"/>
        <v>0</v>
      </c>
    </row>
    <row r="56" spans="1:14" ht="31" outlineLevel="1" x14ac:dyDescent="0.25">
      <c r="A56" s="1011">
        <v>3</v>
      </c>
      <c r="B56" s="1169" t="s">
        <v>1678</v>
      </c>
      <c r="C56" s="1162">
        <v>0</v>
      </c>
      <c r="D56" s="1081" t="s">
        <v>915</v>
      </c>
      <c r="E56" s="1163">
        <v>0</v>
      </c>
      <c r="F56" s="1158">
        <v>0</v>
      </c>
      <c r="G56" s="1158">
        <v>0</v>
      </c>
      <c r="H56" s="1163">
        <f t="shared" si="2"/>
        <v>0</v>
      </c>
      <c r="I56" s="1163">
        <v>0</v>
      </c>
      <c r="J56" s="1163">
        <v>0</v>
      </c>
      <c r="K56" s="1163"/>
      <c r="L56" s="1163"/>
      <c r="M56" s="1163">
        <f t="shared" si="3"/>
        <v>0</v>
      </c>
      <c r="N56" s="1163">
        <f t="shared" si="4"/>
        <v>0</v>
      </c>
    </row>
    <row r="57" spans="1:14" ht="31" outlineLevel="1" x14ac:dyDescent="0.25">
      <c r="A57" s="1011">
        <v>4</v>
      </c>
      <c r="B57" s="1169" t="s">
        <v>1580</v>
      </c>
      <c r="C57" s="1162">
        <v>0</v>
      </c>
      <c r="D57" s="1081" t="s">
        <v>915</v>
      </c>
      <c r="E57" s="1163">
        <v>0</v>
      </c>
      <c r="F57" s="1158">
        <v>0</v>
      </c>
      <c r="G57" s="1158">
        <v>0</v>
      </c>
      <c r="H57" s="1163">
        <f t="shared" si="2"/>
        <v>0</v>
      </c>
      <c r="I57" s="1163">
        <v>0</v>
      </c>
      <c r="J57" s="1163">
        <v>0</v>
      </c>
      <c r="K57" s="1163"/>
      <c r="L57" s="1163"/>
      <c r="M57" s="1163">
        <f t="shared" si="3"/>
        <v>0</v>
      </c>
      <c r="N57" s="1163">
        <f t="shared" si="4"/>
        <v>0</v>
      </c>
    </row>
    <row r="58" spans="1:14" ht="31" outlineLevel="1" x14ac:dyDescent="0.25">
      <c r="A58" s="1011">
        <v>5</v>
      </c>
      <c r="B58" s="1169" t="s">
        <v>1679</v>
      </c>
      <c r="C58" s="1162">
        <v>0</v>
      </c>
      <c r="D58" s="1081" t="s">
        <v>915</v>
      </c>
      <c r="E58" s="1163">
        <v>0</v>
      </c>
      <c r="F58" s="1158">
        <v>0</v>
      </c>
      <c r="G58" s="1158">
        <v>0</v>
      </c>
      <c r="H58" s="1163">
        <f t="shared" si="2"/>
        <v>0</v>
      </c>
      <c r="I58" s="1163">
        <v>0</v>
      </c>
      <c r="J58" s="1163">
        <v>0</v>
      </c>
      <c r="K58" s="1163"/>
      <c r="L58" s="1163"/>
      <c r="M58" s="1163">
        <f t="shared" si="3"/>
        <v>0</v>
      </c>
      <c r="N58" s="1163">
        <f t="shared" si="4"/>
        <v>0</v>
      </c>
    </row>
    <row r="59" spans="1:14" ht="31" outlineLevel="1" x14ac:dyDescent="0.25">
      <c r="A59" s="1011">
        <v>6</v>
      </c>
      <c r="B59" s="1169" t="s">
        <v>1680</v>
      </c>
      <c r="C59" s="1162">
        <v>0</v>
      </c>
      <c r="D59" s="1081" t="s">
        <v>915</v>
      </c>
      <c r="E59" s="1163">
        <v>0</v>
      </c>
      <c r="F59" s="1158">
        <v>0</v>
      </c>
      <c r="G59" s="1158">
        <v>0</v>
      </c>
      <c r="H59" s="1163">
        <f t="shared" si="2"/>
        <v>0</v>
      </c>
      <c r="I59" s="1163">
        <v>0</v>
      </c>
      <c r="J59" s="1163">
        <v>0</v>
      </c>
      <c r="K59" s="1163"/>
      <c r="L59" s="1163"/>
      <c r="M59" s="1163">
        <f t="shared" si="3"/>
        <v>0</v>
      </c>
      <c r="N59" s="1163">
        <f t="shared" si="4"/>
        <v>0</v>
      </c>
    </row>
    <row r="60" spans="1:14" ht="31" outlineLevel="1" x14ac:dyDescent="0.25">
      <c r="A60" s="1011">
        <v>7</v>
      </c>
      <c r="B60" s="1169" t="s">
        <v>1575</v>
      </c>
      <c r="C60" s="1162">
        <v>0</v>
      </c>
      <c r="D60" s="1081" t="s">
        <v>915</v>
      </c>
      <c r="E60" s="1163">
        <v>0</v>
      </c>
      <c r="F60" s="1158">
        <v>0</v>
      </c>
      <c r="G60" s="1158">
        <v>0</v>
      </c>
      <c r="H60" s="1163">
        <f t="shared" si="2"/>
        <v>0</v>
      </c>
      <c r="I60" s="1163">
        <v>0</v>
      </c>
      <c r="J60" s="1163">
        <v>0</v>
      </c>
      <c r="K60" s="1163"/>
      <c r="L60" s="1163"/>
      <c r="M60" s="1163">
        <f t="shared" si="3"/>
        <v>0</v>
      </c>
      <c r="N60" s="1163">
        <f t="shared" si="4"/>
        <v>0</v>
      </c>
    </row>
    <row r="61" spans="1:14" ht="31" outlineLevel="1" x14ac:dyDescent="0.25">
      <c r="A61" s="1011">
        <v>8</v>
      </c>
      <c r="B61" s="1169" t="s">
        <v>1573</v>
      </c>
      <c r="C61" s="1162">
        <v>0</v>
      </c>
      <c r="D61" s="1081" t="s">
        <v>915</v>
      </c>
      <c r="E61" s="1163">
        <v>0</v>
      </c>
      <c r="F61" s="1158">
        <v>0</v>
      </c>
      <c r="G61" s="1158">
        <v>0</v>
      </c>
      <c r="H61" s="1163">
        <f t="shared" si="2"/>
        <v>0</v>
      </c>
      <c r="I61" s="1163">
        <v>0</v>
      </c>
      <c r="J61" s="1163">
        <v>0</v>
      </c>
      <c r="K61" s="1163"/>
      <c r="L61" s="1163"/>
      <c r="M61" s="1163">
        <f t="shared" si="3"/>
        <v>0</v>
      </c>
      <c r="N61" s="1163">
        <f t="shared" si="4"/>
        <v>0</v>
      </c>
    </row>
    <row r="62" spans="1:14" ht="15.5" outlineLevel="1" x14ac:dyDescent="0.25">
      <c r="A62" s="1168">
        <v>0</v>
      </c>
      <c r="B62" s="1150" t="s">
        <v>1571</v>
      </c>
      <c r="C62" s="1162">
        <v>0</v>
      </c>
      <c r="D62" s="1081" t="s">
        <v>915</v>
      </c>
      <c r="E62" s="1163">
        <v>0</v>
      </c>
      <c r="F62" s="1158">
        <v>0</v>
      </c>
      <c r="G62" s="1158">
        <v>0</v>
      </c>
      <c r="H62" s="1163">
        <f t="shared" si="2"/>
        <v>0</v>
      </c>
      <c r="I62" s="1163">
        <v>0</v>
      </c>
      <c r="J62" s="1163">
        <v>0</v>
      </c>
      <c r="K62" s="1163"/>
      <c r="L62" s="1163"/>
      <c r="M62" s="1163">
        <f t="shared" si="3"/>
        <v>0</v>
      </c>
      <c r="N62" s="1163">
        <f t="shared" si="4"/>
        <v>0</v>
      </c>
    </row>
    <row r="63" spans="1:14" ht="31" outlineLevel="1" x14ac:dyDescent="0.25">
      <c r="A63" s="1011">
        <v>1</v>
      </c>
      <c r="B63" s="1169" t="s">
        <v>1570</v>
      </c>
      <c r="C63" s="1162">
        <v>0</v>
      </c>
      <c r="D63" s="1081" t="s">
        <v>915</v>
      </c>
      <c r="E63" s="1163">
        <v>0</v>
      </c>
      <c r="F63" s="1158">
        <v>0</v>
      </c>
      <c r="G63" s="1158">
        <v>0</v>
      </c>
      <c r="H63" s="1163">
        <f t="shared" si="2"/>
        <v>0</v>
      </c>
      <c r="I63" s="1163">
        <v>0</v>
      </c>
      <c r="J63" s="1163">
        <v>0</v>
      </c>
      <c r="K63" s="1163"/>
      <c r="L63" s="1163"/>
      <c r="M63" s="1163">
        <f t="shared" si="3"/>
        <v>0</v>
      </c>
      <c r="N63" s="1163">
        <f t="shared" si="4"/>
        <v>0</v>
      </c>
    </row>
    <row r="64" spans="1:14" ht="31" outlineLevel="1" x14ac:dyDescent="0.25">
      <c r="A64" s="1011">
        <v>2</v>
      </c>
      <c r="B64" s="1169" t="s">
        <v>1567</v>
      </c>
      <c r="C64" s="1162">
        <v>0</v>
      </c>
      <c r="D64" s="1081" t="s">
        <v>915</v>
      </c>
      <c r="E64" s="1163">
        <v>0</v>
      </c>
      <c r="F64" s="1158">
        <v>0</v>
      </c>
      <c r="G64" s="1158">
        <v>0</v>
      </c>
      <c r="H64" s="1163">
        <f t="shared" si="2"/>
        <v>0</v>
      </c>
      <c r="I64" s="1163">
        <v>0</v>
      </c>
      <c r="J64" s="1163">
        <v>0</v>
      </c>
      <c r="K64" s="1163"/>
      <c r="L64" s="1163"/>
      <c r="M64" s="1163">
        <f t="shared" si="3"/>
        <v>0</v>
      </c>
      <c r="N64" s="1163">
        <f t="shared" si="4"/>
        <v>0</v>
      </c>
    </row>
    <row r="65" spans="1:14" ht="31" outlineLevel="1" x14ac:dyDescent="0.25">
      <c r="A65" s="1011">
        <v>3</v>
      </c>
      <c r="B65" s="1169" t="s">
        <v>1565</v>
      </c>
      <c r="C65" s="1162">
        <v>0</v>
      </c>
      <c r="D65" s="1081" t="s">
        <v>915</v>
      </c>
      <c r="E65" s="1163">
        <v>0</v>
      </c>
      <c r="F65" s="1158">
        <v>0</v>
      </c>
      <c r="G65" s="1158">
        <v>0</v>
      </c>
      <c r="H65" s="1163">
        <f t="shared" si="2"/>
        <v>0</v>
      </c>
      <c r="I65" s="1163">
        <v>0</v>
      </c>
      <c r="J65" s="1163">
        <v>0</v>
      </c>
      <c r="K65" s="1163"/>
      <c r="L65" s="1163"/>
      <c r="M65" s="1163">
        <f t="shared" si="3"/>
        <v>0</v>
      </c>
      <c r="N65" s="1163">
        <f t="shared" si="4"/>
        <v>0</v>
      </c>
    </row>
    <row r="66" spans="1:14" ht="15.5" outlineLevel="1" x14ac:dyDescent="0.25">
      <c r="A66" s="1171">
        <v>0</v>
      </c>
      <c r="B66" s="1150" t="s">
        <v>1563</v>
      </c>
      <c r="C66" s="1162">
        <v>0</v>
      </c>
      <c r="D66" s="1081" t="s">
        <v>915</v>
      </c>
      <c r="E66" s="1163">
        <v>0</v>
      </c>
      <c r="F66" s="1158">
        <v>0</v>
      </c>
      <c r="G66" s="1158">
        <v>0</v>
      </c>
      <c r="H66" s="1163">
        <f t="shared" si="2"/>
        <v>0</v>
      </c>
      <c r="I66" s="1163">
        <v>0</v>
      </c>
      <c r="J66" s="1163">
        <v>0</v>
      </c>
      <c r="K66" s="1163"/>
      <c r="L66" s="1163"/>
      <c r="M66" s="1163">
        <f t="shared" si="3"/>
        <v>0</v>
      </c>
      <c r="N66" s="1163">
        <f t="shared" si="4"/>
        <v>0</v>
      </c>
    </row>
    <row r="67" spans="1:14" ht="15.5" outlineLevel="1" x14ac:dyDescent="0.25">
      <c r="A67" s="1168">
        <v>0</v>
      </c>
      <c r="B67" s="1150" t="s">
        <v>1562</v>
      </c>
      <c r="C67" s="1162">
        <v>0</v>
      </c>
      <c r="D67" s="1081" t="s">
        <v>915</v>
      </c>
      <c r="E67" s="1163">
        <v>0</v>
      </c>
      <c r="F67" s="1158">
        <v>0</v>
      </c>
      <c r="G67" s="1158">
        <v>0</v>
      </c>
      <c r="H67" s="1163">
        <f t="shared" si="2"/>
        <v>0</v>
      </c>
      <c r="I67" s="1163">
        <v>0</v>
      </c>
      <c r="J67" s="1163">
        <v>0</v>
      </c>
      <c r="K67" s="1163"/>
      <c r="L67" s="1163"/>
      <c r="M67" s="1163">
        <f t="shared" si="3"/>
        <v>0</v>
      </c>
      <c r="N67" s="1163">
        <f t="shared" si="4"/>
        <v>0</v>
      </c>
    </row>
    <row r="68" spans="1:14" ht="62" outlineLevel="1" x14ac:dyDescent="0.25">
      <c r="A68" s="1011">
        <v>1</v>
      </c>
      <c r="B68" s="1169" t="s">
        <v>1681</v>
      </c>
      <c r="C68" s="1162">
        <v>0</v>
      </c>
      <c r="D68" s="1081" t="s">
        <v>915</v>
      </c>
      <c r="E68" s="1163">
        <v>0</v>
      </c>
      <c r="F68" s="1158">
        <v>0</v>
      </c>
      <c r="G68" s="1158">
        <v>0</v>
      </c>
      <c r="H68" s="1163">
        <f t="shared" si="2"/>
        <v>0</v>
      </c>
      <c r="I68" s="1163">
        <v>0</v>
      </c>
      <c r="J68" s="1163">
        <v>0</v>
      </c>
      <c r="K68" s="1163"/>
      <c r="L68" s="1163"/>
      <c r="M68" s="1163">
        <f t="shared" si="3"/>
        <v>0</v>
      </c>
      <c r="N68" s="1163">
        <f t="shared" si="4"/>
        <v>0</v>
      </c>
    </row>
    <row r="69" spans="1:14" ht="46.5" outlineLevel="1" x14ac:dyDescent="0.25">
      <c r="A69" s="1011">
        <v>2</v>
      </c>
      <c r="B69" s="1169" t="s">
        <v>1559</v>
      </c>
      <c r="C69" s="1162">
        <v>0</v>
      </c>
      <c r="D69" s="1081" t="s">
        <v>915</v>
      </c>
      <c r="E69" s="1163">
        <v>0</v>
      </c>
      <c r="F69" s="1158">
        <v>0</v>
      </c>
      <c r="G69" s="1158">
        <v>0</v>
      </c>
      <c r="H69" s="1163">
        <f t="shared" si="2"/>
        <v>0</v>
      </c>
      <c r="I69" s="1163">
        <v>0</v>
      </c>
      <c r="J69" s="1163">
        <v>0</v>
      </c>
      <c r="K69" s="1163"/>
      <c r="L69" s="1163"/>
      <c r="M69" s="1163">
        <f t="shared" si="3"/>
        <v>0</v>
      </c>
      <c r="N69" s="1163">
        <f t="shared" si="4"/>
        <v>0</v>
      </c>
    </row>
    <row r="70" spans="1:14" ht="31" outlineLevel="1" x14ac:dyDescent="0.25">
      <c r="A70" s="1011">
        <v>3</v>
      </c>
      <c r="B70" s="1169" t="s">
        <v>1557</v>
      </c>
      <c r="C70" s="1162">
        <v>0</v>
      </c>
      <c r="D70" s="1081" t="s">
        <v>915</v>
      </c>
      <c r="E70" s="1163">
        <v>0</v>
      </c>
      <c r="F70" s="1158">
        <v>0</v>
      </c>
      <c r="G70" s="1158">
        <v>0</v>
      </c>
      <c r="H70" s="1163">
        <f t="shared" si="2"/>
        <v>0</v>
      </c>
      <c r="I70" s="1163">
        <v>0</v>
      </c>
      <c r="J70" s="1163">
        <v>0</v>
      </c>
      <c r="K70" s="1163"/>
      <c r="L70" s="1163"/>
      <c r="M70" s="1163">
        <f t="shared" si="3"/>
        <v>0</v>
      </c>
      <c r="N70" s="1163">
        <f t="shared" si="4"/>
        <v>0</v>
      </c>
    </row>
    <row r="71" spans="1:14" ht="31" outlineLevel="1" x14ac:dyDescent="0.25">
      <c r="A71" s="1011">
        <v>4</v>
      </c>
      <c r="B71" s="1169" t="s">
        <v>1555</v>
      </c>
      <c r="C71" s="1162">
        <v>0</v>
      </c>
      <c r="D71" s="1081" t="s">
        <v>915</v>
      </c>
      <c r="E71" s="1163">
        <v>0</v>
      </c>
      <c r="F71" s="1158">
        <v>0</v>
      </c>
      <c r="G71" s="1158">
        <v>0</v>
      </c>
      <c r="H71" s="1163">
        <f t="shared" si="2"/>
        <v>0</v>
      </c>
      <c r="I71" s="1163">
        <v>0</v>
      </c>
      <c r="J71" s="1163">
        <v>0</v>
      </c>
      <c r="K71" s="1163"/>
      <c r="L71" s="1163"/>
      <c r="M71" s="1163">
        <f t="shared" si="3"/>
        <v>0</v>
      </c>
      <c r="N71" s="1163">
        <f t="shared" si="4"/>
        <v>0</v>
      </c>
    </row>
    <row r="72" spans="1:14" ht="77.5" outlineLevel="1" x14ac:dyDescent="0.25">
      <c r="A72" s="1011">
        <v>5</v>
      </c>
      <c r="B72" s="1169" t="s">
        <v>1553</v>
      </c>
      <c r="C72" s="1162">
        <v>0</v>
      </c>
      <c r="D72" s="1081" t="s">
        <v>915</v>
      </c>
      <c r="E72" s="1163">
        <v>0</v>
      </c>
      <c r="F72" s="1158">
        <v>0</v>
      </c>
      <c r="G72" s="1158">
        <v>0</v>
      </c>
      <c r="H72" s="1163">
        <f t="shared" si="2"/>
        <v>0</v>
      </c>
      <c r="I72" s="1163">
        <v>0</v>
      </c>
      <c r="J72" s="1163">
        <v>0</v>
      </c>
      <c r="K72" s="1163"/>
      <c r="L72" s="1163"/>
      <c r="M72" s="1163">
        <f t="shared" si="3"/>
        <v>0</v>
      </c>
      <c r="N72" s="1163">
        <f t="shared" si="4"/>
        <v>0</v>
      </c>
    </row>
    <row r="73" spans="1:14" ht="15.5" outlineLevel="1" x14ac:dyDescent="0.25">
      <c r="A73" s="1011">
        <v>0</v>
      </c>
      <c r="B73" s="1150" t="s">
        <v>1551</v>
      </c>
      <c r="C73" s="1162">
        <v>0</v>
      </c>
      <c r="D73" s="1081" t="s">
        <v>915</v>
      </c>
      <c r="E73" s="1163">
        <v>0</v>
      </c>
      <c r="F73" s="1158">
        <v>0</v>
      </c>
      <c r="G73" s="1158">
        <v>0</v>
      </c>
      <c r="H73" s="1163">
        <f t="shared" si="2"/>
        <v>0</v>
      </c>
      <c r="I73" s="1163">
        <v>0</v>
      </c>
      <c r="J73" s="1163">
        <v>0</v>
      </c>
      <c r="K73" s="1163"/>
      <c r="L73" s="1163"/>
      <c r="M73" s="1163">
        <f t="shared" si="3"/>
        <v>0</v>
      </c>
      <c r="N73" s="1163">
        <f t="shared" si="4"/>
        <v>0</v>
      </c>
    </row>
    <row r="74" spans="1:14" ht="15.5" outlineLevel="1" x14ac:dyDescent="0.25">
      <c r="A74" s="1011">
        <v>1</v>
      </c>
      <c r="B74" s="1169" t="s">
        <v>1682</v>
      </c>
      <c r="C74" s="1162">
        <v>0</v>
      </c>
      <c r="D74" s="1081" t="s">
        <v>915</v>
      </c>
      <c r="E74" s="1163">
        <v>0</v>
      </c>
      <c r="F74" s="1158">
        <v>0</v>
      </c>
      <c r="G74" s="1158">
        <v>0</v>
      </c>
      <c r="H74" s="1163">
        <f t="shared" si="2"/>
        <v>0</v>
      </c>
      <c r="I74" s="1163">
        <v>0</v>
      </c>
      <c r="J74" s="1163">
        <v>0</v>
      </c>
      <c r="K74" s="1163"/>
      <c r="L74" s="1163"/>
      <c r="M74" s="1163">
        <f t="shared" si="3"/>
        <v>0</v>
      </c>
      <c r="N74" s="1163">
        <f t="shared" si="4"/>
        <v>0</v>
      </c>
    </row>
    <row r="75" spans="1:14" ht="77.5" outlineLevel="1" x14ac:dyDescent="0.25">
      <c r="A75" s="1011">
        <v>2</v>
      </c>
      <c r="B75" s="1169" t="s">
        <v>1548</v>
      </c>
      <c r="C75" s="1162">
        <v>0</v>
      </c>
      <c r="D75" s="1081" t="s">
        <v>915</v>
      </c>
      <c r="E75" s="1163">
        <v>0</v>
      </c>
      <c r="F75" s="1158">
        <v>0</v>
      </c>
      <c r="G75" s="1158">
        <v>0</v>
      </c>
      <c r="H75" s="1163">
        <f t="shared" si="2"/>
        <v>0</v>
      </c>
      <c r="I75" s="1163">
        <v>0</v>
      </c>
      <c r="J75" s="1163">
        <v>0</v>
      </c>
      <c r="K75" s="1163"/>
      <c r="L75" s="1163"/>
      <c r="M75" s="1163">
        <f t="shared" si="3"/>
        <v>0</v>
      </c>
      <c r="N75" s="1163">
        <f t="shared" si="4"/>
        <v>0</v>
      </c>
    </row>
    <row r="76" spans="1:14" ht="46.5" outlineLevel="1" x14ac:dyDescent="0.25">
      <c r="A76" s="1011">
        <v>3</v>
      </c>
      <c r="B76" s="1169" t="s">
        <v>1546</v>
      </c>
      <c r="C76" s="1162">
        <v>0</v>
      </c>
      <c r="D76" s="1081" t="s">
        <v>915</v>
      </c>
      <c r="E76" s="1163">
        <v>0</v>
      </c>
      <c r="F76" s="1158">
        <v>0</v>
      </c>
      <c r="G76" s="1158">
        <v>0</v>
      </c>
      <c r="H76" s="1163">
        <f t="shared" si="2"/>
        <v>0</v>
      </c>
      <c r="I76" s="1163">
        <v>0</v>
      </c>
      <c r="J76" s="1163">
        <v>0</v>
      </c>
      <c r="K76" s="1163"/>
      <c r="L76" s="1163"/>
      <c r="M76" s="1163">
        <f t="shared" si="3"/>
        <v>0</v>
      </c>
      <c r="N76" s="1163">
        <f t="shared" si="4"/>
        <v>0</v>
      </c>
    </row>
    <row r="77" spans="1:14" ht="46.5" outlineLevel="1" x14ac:dyDescent="0.25">
      <c r="A77" s="1011">
        <v>4</v>
      </c>
      <c r="B77" s="1169" t="s">
        <v>1544</v>
      </c>
      <c r="C77" s="1162">
        <v>0</v>
      </c>
      <c r="D77" s="1081" t="s">
        <v>915</v>
      </c>
      <c r="E77" s="1163">
        <v>0</v>
      </c>
      <c r="F77" s="1158">
        <v>0</v>
      </c>
      <c r="G77" s="1158">
        <v>0</v>
      </c>
      <c r="H77" s="1163">
        <f t="shared" si="2"/>
        <v>0</v>
      </c>
      <c r="I77" s="1163">
        <v>0</v>
      </c>
      <c r="J77" s="1163">
        <v>0</v>
      </c>
      <c r="K77" s="1163"/>
      <c r="L77" s="1163"/>
      <c r="M77" s="1163">
        <f t="shared" si="3"/>
        <v>0</v>
      </c>
      <c r="N77" s="1163">
        <f t="shared" si="4"/>
        <v>0</v>
      </c>
    </row>
    <row r="78" spans="1:14" ht="31" outlineLevel="1" x14ac:dyDescent="0.25">
      <c r="A78" s="1011">
        <v>5</v>
      </c>
      <c r="B78" s="1169" t="s">
        <v>1683</v>
      </c>
      <c r="C78" s="1162">
        <v>0</v>
      </c>
      <c r="D78" s="1081" t="s">
        <v>915</v>
      </c>
      <c r="E78" s="1163">
        <v>0</v>
      </c>
      <c r="F78" s="1158">
        <v>0</v>
      </c>
      <c r="G78" s="1158">
        <v>0</v>
      </c>
      <c r="H78" s="1163">
        <f t="shared" si="2"/>
        <v>0</v>
      </c>
      <c r="I78" s="1163">
        <v>0</v>
      </c>
      <c r="J78" s="1163">
        <v>0</v>
      </c>
      <c r="K78" s="1163"/>
      <c r="L78" s="1163"/>
      <c r="M78" s="1163">
        <f t="shared" si="3"/>
        <v>0</v>
      </c>
      <c r="N78" s="1163">
        <f t="shared" si="4"/>
        <v>0</v>
      </c>
    </row>
    <row r="79" spans="1:14" ht="31" outlineLevel="1" x14ac:dyDescent="0.25">
      <c r="A79" s="1011">
        <v>6</v>
      </c>
      <c r="B79" s="1169" t="s">
        <v>1684</v>
      </c>
      <c r="C79" s="1162">
        <v>0</v>
      </c>
      <c r="D79" s="1081" t="s">
        <v>915</v>
      </c>
      <c r="E79" s="1163">
        <v>0</v>
      </c>
      <c r="F79" s="1158">
        <v>0</v>
      </c>
      <c r="G79" s="1158">
        <v>0</v>
      </c>
      <c r="H79" s="1163">
        <f t="shared" si="2"/>
        <v>0</v>
      </c>
      <c r="I79" s="1163">
        <v>0</v>
      </c>
      <c r="J79" s="1163">
        <v>0</v>
      </c>
      <c r="K79" s="1163"/>
      <c r="L79" s="1163"/>
      <c r="M79" s="1163">
        <f t="shared" si="3"/>
        <v>0</v>
      </c>
      <c r="N79" s="1163">
        <f t="shared" si="4"/>
        <v>0</v>
      </c>
    </row>
    <row r="80" spans="1:14" ht="15.5" outlineLevel="1" x14ac:dyDescent="0.25">
      <c r="A80" s="1168">
        <v>0</v>
      </c>
      <c r="B80" s="1172" t="s">
        <v>1539</v>
      </c>
      <c r="C80" s="1162">
        <v>0</v>
      </c>
      <c r="D80" s="1081" t="s">
        <v>915</v>
      </c>
      <c r="E80" s="1163">
        <v>0</v>
      </c>
      <c r="F80" s="1158">
        <v>0</v>
      </c>
      <c r="G80" s="1158">
        <v>0</v>
      </c>
      <c r="H80" s="1163">
        <f t="shared" si="2"/>
        <v>0</v>
      </c>
      <c r="I80" s="1163">
        <v>0</v>
      </c>
      <c r="J80" s="1163">
        <v>0</v>
      </c>
      <c r="K80" s="1163"/>
      <c r="L80" s="1163"/>
      <c r="M80" s="1163">
        <f t="shared" si="3"/>
        <v>0</v>
      </c>
      <c r="N80" s="1163">
        <f t="shared" si="4"/>
        <v>0</v>
      </c>
    </row>
    <row r="81" spans="1:14" ht="15.5" outlineLevel="1" x14ac:dyDescent="0.25">
      <c r="A81" s="1011">
        <v>1</v>
      </c>
      <c r="B81" s="1169" t="s">
        <v>1538</v>
      </c>
      <c r="C81" s="1162">
        <v>0</v>
      </c>
      <c r="D81" s="1081" t="s">
        <v>915</v>
      </c>
      <c r="E81" s="1163">
        <v>0</v>
      </c>
      <c r="F81" s="1158">
        <v>0</v>
      </c>
      <c r="G81" s="1158">
        <v>0</v>
      </c>
      <c r="H81" s="1163">
        <f t="shared" si="2"/>
        <v>0</v>
      </c>
      <c r="I81" s="1163">
        <v>0</v>
      </c>
      <c r="J81" s="1163">
        <v>0</v>
      </c>
      <c r="K81" s="1163"/>
      <c r="L81" s="1163"/>
      <c r="M81" s="1163">
        <f t="shared" si="3"/>
        <v>0</v>
      </c>
      <c r="N81" s="1163">
        <f t="shared" si="4"/>
        <v>0</v>
      </c>
    </row>
    <row r="82" spans="1:14" ht="15.5" outlineLevel="1" x14ac:dyDescent="0.25">
      <c r="A82" s="1011">
        <v>2</v>
      </c>
      <c r="B82" s="1169" t="s">
        <v>1536</v>
      </c>
      <c r="C82" s="1162">
        <v>0</v>
      </c>
      <c r="D82" s="1081" t="s">
        <v>915</v>
      </c>
      <c r="E82" s="1163">
        <v>0</v>
      </c>
      <c r="F82" s="1158">
        <v>0</v>
      </c>
      <c r="G82" s="1158">
        <v>0</v>
      </c>
      <c r="H82" s="1163">
        <f t="shared" si="2"/>
        <v>0</v>
      </c>
      <c r="I82" s="1163">
        <v>0</v>
      </c>
      <c r="J82" s="1163">
        <v>0</v>
      </c>
      <c r="K82" s="1163"/>
      <c r="L82" s="1163"/>
      <c r="M82" s="1163">
        <f t="shared" si="3"/>
        <v>0</v>
      </c>
      <c r="N82" s="1163">
        <f t="shared" si="4"/>
        <v>0</v>
      </c>
    </row>
    <row r="83" spans="1:14" ht="31" outlineLevel="1" x14ac:dyDescent="0.25">
      <c r="A83" s="1011">
        <v>3</v>
      </c>
      <c r="B83" s="1169" t="s">
        <v>1534</v>
      </c>
      <c r="C83" s="1162">
        <v>0</v>
      </c>
      <c r="D83" s="1081" t="s">
        <v>915</v>
      </c>
      <c r="E83" s="1163">
        <v>0</v>
      </c>
      <c r="F83" s="1158">
        <v>0</v>
      </c>
      <c r="G83" s="1158">
        <v>0</v>
      </c>
      <c r="H83" s="1163">
        <f t="shared" si="2"/>
        <v>0</v>
      </c>
      <c r="I83" s="1163">
        <v>0</v>
      </c>
      <c r="J83" s="1163">
        <v>0</v>
      </c>
      <c r="K83" s="1163"/>
      <c r="L83" s="1163"/>
      <c r="M83" s="1163">
        <f t="shared" si="3"/>
        <v>0</v>
      </c>
      <c r="N83" s="1163">
        <f t="shared" si="4"/>
        <v>0</v>
      </c>
    </row>
    <row r="84" spans="1:14" ht="15.5" outlineLevel="1" x14ac:dyDescent="0.25">
      <c r="A84" s="1011">
        <v>4</v>
      </c>
      <c r="B84" s="1169" t="s">
        <v>1532</v>
      </c>
      <c r="C84" s="1162">
        <v>0</v>
      </c>
      <c r="D84" s="1081" t="s">
        <v>915</v>
      </c>
      <c r="E84" s="1163">
        <v>0</v>
      </c>
      <c r="F84" s="1158">
        <v>0</v>
      </c>
      <c r="G84" s="1158">
        <v>0</v>
      </c>
      <c r="H84" s="1163">
        <f t="shared" si="2"/>
        <v>0</v>
      </c>
      <c r="I84" s="1163">
        <v>0</v>
      </c>
      <c r="J84" s="1163">
        <v>0</v>
      </c>
      <c r="K84" s="1163"/>
      <c r="L84" s="1163"/>
      <c r="M84" s="1163">
        <f t="shared" si="3"/>
        <v>0</v>
      </c>
      <c r="N84" s="1163">
        <f t="shared" si="4"/>
        <v>0</v>
      </c>
    </row>
    <row r="85" spans="1:14" ht="15.5" outlineLevel="1" x14ac:dyDescent="0.25">
      <c r="A85" s="1011">
        <v>5</v>
      </c>
      <c r="B85" s="1169" t="s">
        <v>1530</v>
      </c>
      <c r="C85" s="1162">
        <v>0</v>
      </c>
      <c r="D85" s="1081" t="s">
        <v>915</v>
      </c>
      <c r="E85" s="1163">
        <v>0</v>
      </c>
      <c r="F85" s="1158">
        <v>0</v>
      </c>
      <c r="G85" s="1158">
        <v>0</v>
      </c>
      <c r="H85" s="1163">
        <f t="shared" si="2"/>
        <v>0</v>
      </c>
      <c r="I85" s="1163">
        <v>0</v>
      </c>
      <c r="J85" s="1163">
        <v>0</v>
      </c>
      <c r="K85" s="1163"/>
      <c r="L85" s="1163"/>
      <c r="M85" s="1163">
        <f t="shared" si="3"/>
        <v>0</v>
      </c>
      <c r="N85" s="1163">
        <f t="shared" si="4"/>
        <v>0</v>
      </c>
    </row>
    <row r="86" spans="1:14" ht="15.5" outlineLevel="1" x14ac:dyDescent="0.25">
      <c r="A86" s="1011">
        <v>6</v>
      </c>
      <c r="B86" s="1169" t="s">
        <v>1529</v>
      </c>
      <c r="C86" s="1162">
        <v>0</v>
      </c>
      <c r="D86" s="1081" t="s">
        <v>915</v>
      </c>
      <c r="E86" s="1163">
        <v>0</v>
      </c>
      <c r="F86" s="1158">
        <v>0</v>
      </c>
      <c r="G86" s="1158">
        <v>0</v>
      </c>
      <c r="H86" s="1163">
        <f t="shared" si="2"/>
        <v>0</v>
      </c>
      <c r="I86" s="1163">
        <v>0</v>
      </c>
      <c r="J86" s="1163">
        <v>0</v>
      </c>
      <c r="K86" s="1163"/>
      <c r="L86" s="1163"/>
      <c r="M86" s="1163">
        <f t="shared" si="3"/>
        <v>0</v>
      </c>
      <c r="N86" s="1163">
        <f t="shared" si="4"/>
        <v>0</v>
      </c>
    </row>
    <row r="87" spans="1:14" ht="15.5" outlineLevel="1" x14ac:dyDescent="0.25">
      <c r="A87" s="1168">
        <v>0</v>
      </c>
      <c r="B87" s="1013">
        <v>0</v>
      </c>
      <c r="C87" s="1162">
        <v>0</v>
      </c>
      <c r="D87" s="1081" t="s">
        <v>915</v>
      </c>
      <c r="E87" s="1163">
        <v>0</v>
      </c>
      <c r="F87" s="1158">
        <v>0</v>
      </c>
      <c r="G87" s="1158">
        <v>0</v>
      </c>
      <c r="H87" s="1163">
        <f t="shared" si="2"/>
        <v>0</v>
      </c>
      <c r="I87" s="1163">
        <v>0</v>
      </c>
      <c r="J87" s="1163">
        <v>0</v>
      </c>
      <c r="K87" s="1163"/>
      <c r="L87" s="1163"/>
      <c r="M87" s="1163">
        <f t="shared" si="3"/>
        <v>0</v>
      </c>
      <c r="N87" s="1163">
        <f t="shared" si="4"/>
        <v>0</v>
      </c>
    </row>
    <row r="88" spans="1:14" ht="15.5" outlineLevel="1" x14ac:dyDescent="0.25">
      <c r="A88" s="1168">
        <v>0</v>
      </c>
      <c r="B88" s="1150" t="s">
        <v>1527</v>
      </c>
      <c r="C88" s="1162">
        <v>0</v>
      </c>
      <c r="D88" s="1081" t="s">
        <v>915</v>
      </c>
      <c r="E88" s="1163">
        <v>0</v>
      </c>
      <c r="F88" s="1158">
        <v>0</v>
      </c>
      <c r="G88" s="1158">
        <v>0</v>
      </c>
      <c r="H88" s="1163">
        <f t="shared" si="2"/>
        <v>0</v>
      </c>
      <c r="I88" s="1163">
        <v>0</v>
      </c>
      <c r="J88" s="1163">
        <v>0</v>
      </c>
      <c r="K88" s="1163"/>
      <c r="L88" s="1163"/>
      <c r="M88" s="1163">
        <f t="shared" si="3"/>
        <v>0</v>
      </c>
      <c r="N88" s="1163">
        <f t="shared" si="4"/>
        <v>0</v>
      </c>
    </row>
    <row r="89" spans="1:14" ht="15.5" outlineLevel="1" x14ac:dyDescent="0.25">
      <c r="A89" s="1168">
        <v>0</v>
      </c>
      <c r="B89" s="1150" t="s">
        <v>1526</v>
      </c>
      <c r="C89" s="1162">
        <v>0</v>
      </c>
      <c r="D89" s="1081" t="s">
        <v>915</v>
      </c>
      <c r="E89" s="1163">
        <v>0</v>
      </c>
      <c r="F89" s="1158">
        <v>0</v>
      </c>
      <c r="G89" s="1158">
        <v>0</v>
      </c>
      <c r="H89" s="1163">
        <f t="shared" si="2"/>
        <v>0</v>
      </c>
      <c r="I89" s="1163">
        <v>0</v>
      </c>
      <c r="J89" s="1163">
        <v>0</v>
      </c>
      <c r="K89" s="1163"/>
      <c r="L89" s="1163"/>
      <c r="M89" s="1163">
        <f t="shared" si="3"/>
        <v>0</v>
      </c>
      <c r="N89" s="1163">
        <f t="shared" si="4"/>
        <v>0</v>
      </c>
    </row>
    <row r="90" spans="1:14" ht="15.5" outlineLevel="1" x14ac:dyDescent="0.25">
      <c r="A90" s="1011">
        <v>1</v>
      </c>
      <c r="B90" s="1169" t="s">
        <v>1525</v>
      </c>
      <c r="C90" s="1162">
        <v>0</v>
      </c>
      <c r="D90" s="1081" t="s">
        <v>915</v>
      </c>
      <c r="E90" s="1163">
        <v>0</v>
      </c>
      <c r="F90" s="1158">
        <v>0</v>
      </c>
      <c r="G90" s="1158">
        <v>0</v>
      </c>
      <c r="H90" s="1163">
        <f t="shared" si="2"/>
        <v>0</v>
      </c>
      <c r="I90" s="1163">
        <v>0</v>
      </c>
      <c r="J90" s="1163">
        <v>0</v>
      </c>
      <c r="K90" s="1163"/>
      <c r="L90" s="1163"/>
      <c r="M90" s="1163">
        <f t="shared" si="3"/>
        <v>0</v>
      </c>
      <c r="N90" s="1163">
        <f t="shared" si="4"/>
        <v>0</v>
      </c>
    </row>
    <row r="91" spans="1:14" ht="15.5" outlineLevel="1" x14ac:dyDescent="0.25">
      <c r="A91" s="1011">
        <v>2</v>
      </c>
      <c r="B91" s="1169" t="s">
        <v>1524</v>
      </c>
      <c r="C91" s="1162">
        <v>0</v>
      </c>
      <c r="D91" s="1081" t="s">
        <v>915</v>
      </c>
      <c r="E91" s="1163">
        <v>0</v>
      </c>
      <c r="F91" s="1158">
        <v>0</v>
      </c>
      <c r="G91" s="1158">
        <v>0</v>
      </c>
      <c r="H91" s="1163">
        <f t="shared" si="2"/>
        <v>0</v>
      </c>
      <c r="I91" s="1163">
        <v>0</v>
      </c>
      <c r="J91" s="1163">
        <v>0</v>
      </c>
      <c r="K91" s="1163"/>
      <c r="L91" s="1163"/>
      <c r="M91" s="1163">
        <f t="shared" si="3"/>
        <v>0</v>
      </c>
      <c r="N91" s="1163">
        <f t="shared" si="4"/>
        <v>0</v>
      </c>
    </row>
    <row r="92" spans="1:14" ht="15.5" outlineLevel="1" x14ac:dyDescent="0.25">
      <c r="A92" s="1011">
        <v>3</v>
      </c>
      <c r="B92" s="1169" t="s">
        <v>1523</v>
      </c>
      <c r="C92" s="1162">
        <v>0</v>
      </c>
      <c r="D92" s="1081" t="s">
        <v>915</v>
      </c>
      <c r="E92" s="1163">
        <v>0</v>
      </c>
      <c r="F92" s="1158">
        <v>0</v>
      </c>
      <c r="G92" s="1158">
        <v>0</v>
      </c>
      <c r="H92" s="1163">
        <f t="shared" si="2"/>
        <v>0</v>
      </c>
      <c r="I92" s="1163">
        <v>0</v>
      </c>
      <c r="J92" s="1163">
        <v>0</v>
      </c>
      <c r="K92" s="1163"/>
      <c r="L92" s="1163"/>
      <c r="M92" s="1163">
        <f t="shared" si="3"/>
        <v>0</v>
      </c>
      <c r="N92" s="1163">
        <f t="shared" si="4"/>
        <v>0</v>
      </c>
    </row>
    <row r="93" spans="1:14" ht="15.5" outlineLevel="1" x14ac:dyDescent="0.25">
      <c r="A93" s="1011">
        <v>4</v>
      </c>
      <c r="B93" s="1169" t="s">
        <v>1522</v>
      </c>
      <c r="C93" s="1162">
        <v>0</v>
      </c>
      <c r="D93" s="1081" t="s">
        <v>915</v>
      </c>
      <c r="E93" s="1163">
        <v>0</v>
      </c>
      <c r="F93" s="1158">
        <v>0</v>
      </c>
      <c r="G93" s="1158">
        <v>0</v>
      </c>
      <c r="H93" s="1163">
        <f t="shared" si="2"/>
        <v>0</v>
      </c>
      <c r="I93" s="1163">
        <v>0</v>
      </c>
      <c r="J93" s="1163">
        <v>0</v>
      </c>
      <c r="K93" s="1163"/>
      <c r="L93" s="1163"/>
      <c r="M93" s="1163">
        <f t="shared" si="3"/>
        <v>0</v>
      </c>
      <c r="N93" s="1163">
        <f t="shared" si="4"/>
        <v>0</v>
      </c>
    </row>
    <row r="94" spans="1:14" ht="15.5" outlineLevel="1" x14ac:dyDescent="0.25">
      <c r="A94" s="1011">
        <v>5</v>
      </c>
      <c r="B94" s="1169" t="s">
        <v>1521</v>
      </c>
      <c r="C94" s="1162">
        <v>0</v>
      </c>
      <c r="D94" s="1081" t="s">
        <v>915</v>
      </c>
      <c r="E94" s="1163">
        <v>0</v>
      </c>
      <c r="F94" s="1158">
        <v>0</v>
      </c>
      <c r="G94" s="1158">
        <v>0</v>
      </c>
      <c r="H94" s="1163">
        <f t="shared" si="2"/>
        <v>0</v>
      </c>
      <c r="I94" s="1163">
        <v>0</v>
      </c>
      <c r="J94" s="1163">
        <v>0</v>
      </c>
      <c r="K94" s="1163"/>
      <c r="L94" s="1163"/>
      <c r="M94" s="1163">
        <f t="shared" si="3"/>
        <v>0</v>
      </c>
      <c r="N94" s="1163">
        <f t="shared" si="4"/>
        <v>0</v>
      </c>
    </row>
    <row r="95" spans="1:14" ht="15.5" outlineLevel="1" x14ac:dyDescent="0.25">
      <c r="A95" s="1044">
        <v>0</v>
      </c>
      <c r="B95" s="1040">
        <v>0</v>
      </c>
      <c r="C95" s="1162">
        <v>0</v>
      </c>
      <c r="D95" s="1081" t="s">
        <v>915</v>
      </c>
      <c r="E95" s="1163">
        <v>0</v>
      </c>
      <c r="F95" s="1158">
        <v>0</v>
      </c>
      <c r="G95" s="1158">
        <v>0</v>
      </c>
      <c r="H95" s="1163">
        <f t="shared" si="2"/>
        <v>0</v>
      </c>
      <c r="I95" s="1163">
        <v>0</v>
      </c>
      <c r="J95" s="1163">
        <v>0</v>
      </c>
      <c r="K95" s="1163"/>
      <c r="L95" s="1163"/>
      <c r="M95" s="1163">
        <f t="shared" si="3"/>
        <v>0</v>
      </c>
      <c r="N95" s="1163">
        <f t="shared" si="4"/>
        <v>0</v>
      </c>
    </row>
    <row r="96" spans="1:14" ht="15.5" outlineLevel="1" x14ac:dyDescent="0.25">
      <c r="A96" s="1168">
        <v>0</v>
      </c>
      <c r="B96" s="1172" t="s">
        <v>1519</v>
      </c>
      <c r="C96" s="1162">
        <v>0</v>
      </c>
      <c r="D96" s="1081" t="s">
        <v>915</v>
      </c>
      <c r="E96" s="1163">
        <v>0</v>
      </c>
      <c r="F96" s="1158">
        <v>0</v>
      </c>
      <c r="G96" s="1158">
        <v>0</v>
      </c>
      <c r="H96" s="1163">
        <f t="shared" si="2"/>
        <v>0</v>
      </c>
      <c r="I96" s="1163">
        <v>0</v>
      </c>
      <c r="J96" s="1163">
        <v>0</v>
      </c>
      <c r="K96" s="1163"/>
      <c r="L96" s="1163"/>
      <c r="M96" s="1163">
        <f t="shared" si="3"/>
        <v>0</v>
      </c>
      <c r="N96" s="1163">
        <f t="shared" si="4"/>
        <v>0</v>
      </c>
    </row>
    <row r="97" spans="1:16" ht="46.5" outlineLevel="1" x14ac:dyDescent="0.25">
      <c r="A97" s="1011">
        <v>1</v>
      </c>
      <c r="B97" s="1169" t="s">
        <v>1518</v>
      </c>
      <c r="C97" s="1162">
        <v>0</v>
      </c>
      <c r="D97" s="1081" t="s">
        <v>915</v>
      </c>
      <c r="E97" s="1163">
        <v>0</v>
      </c>
      <c r="F97" s="1158">
        <v>0</v>
      </c>
      <c r="G97" s="1158">
        <v>0</v>
      </c>
      <c r="H97" s="1163">
        <f t="shared" si="2"/>
        <v>0</v>
      </c>
      <c r="I97" s="1163">
        <v>0</v>
      </c>
      <c r="J97" s="1163">
        <v>0</v>
      </c>
      <c r="K97" s="1163"/>
      <c r="L97" s="1163"/>
      <c r="M97" s="1163">
        <f t="shared" si="3"/>
        <v>0</v>
      </c>
      <c r="N97" s="1163">
        <f t="shared" si="4"/>
        <v>0</v>
      </c>
    </row>
    <row r="98" spans="1:16" ht="15.5" outlineLevel="1" x14ac:dyDescent="0.25">
      <c r="A98" s="1011">
        <v>0</v>
      </c>
      <c r="B98" s="1012" t="s">
        <v>931</v>
      </c>
      <c r="C98" s="1162"/>
      <c r="D98" s="1081" t="s">
        <v>915</v>
      </c>
      <c r="E98" s="1163">
        <v>0</v>
      </c>
      <c r="F98" s="1158">
        <v>0</v>
      </c>
      <c r="G98" s="1158">
        <v>0</v>
      </c>
      <c r="H98" s="1163">
        <f t="shared" si="2"/>
        <v>0</v>
      </c>
      <c r="I98" s="1163">
        <v>0</v>
      </c>
      <c r="J98" s="1163">
        <v>0</v>
      </c>
      <c r="K98" s="1163"/>
      <c r="L98" s="1163"/>
      <c r="M98" s="1163">
        <f t="shared" si="3"/>
        <v>0</v>
      </c>
      <c r="N98" s="1163">
        <f t="shared" si="4"/>
        <v>0</v>
      </c>
    </row>
    <row r="99" spans="1:16" ht="15.5" outlineLevel="1" x14ac:dyDescent="0.25">
      <c r="A99" s="1160">
        <v>1</v>
      </c>
      <c r="B99" s="1035" t="s">
        <v>260</v>
      </c>
      <c r="C99" s="1162"/>
      <c r="D99" s="1081" t="s">
        <v>915</v>
      </c>
      <c r="E99" s="1163">
        <v>0</v>
      </c>
      <c r="F99" s="1158">
        <v>0.54617125799999999</v>
      </c>
      <c r="G99" s="1158">
        <v>0.54617125799999999</v>
      </c>
      <c r="H99" s="1163">
        <f t="shared" si="2"/>
        <v>0</v>
      </c>
      <c r="I99" s="1163">
        <v>1.4272198000000002E-2</v>
      </c>
      <c r="J99" s="1163">
        <v>2.4272198000000002E-2</v>
      </c>
      <c r="K99" s="1163"/>
      <c r="L99" s="1163"/>
      <c r="M99" s="1163">
        <f t="shared" si="3"/>
        <v>2.4272198000000002E-2</v>
      </c>
      <c r="N99" s="1163">
        <f t="shared" si="4"/>
        <v>-0.01</v>
      </c>
    </row>
    <row r="100" spans="1:16" ht="15.5" outlineLevel="1" x14ac:dyDescent="0.25">
      <c r="A100" s="1160">
        <v>2</v>
      </c>
      <c r="B100" s="1034" t="s">
        <v>259</v>
      </c>
      <c r="C100" s="1162"/>
      <c r="D100" s="1081" t="s">
        <v>915</v>
      </c>
      <c r="E100" s="1163">
        <v>0</v>
      </c>
      <c r="F100" s="1158">
        <v>5.7560400000000005E-3</v>
      </c>
      <c r="G100" s="1158">
        <v>5.7560400000000005E-3</v>
      </c>
      <c r="H100" s="1163">
        <f t="shared" si="2"/>
        <v>0</v>
      </c>
      <c r="I100" s="1163">
        <v>0</v>
      </c>
      <c r="J100" s="1163">
        <v>0</v>
      </c>
      <c r="K100" s="1163"/>
      <c r="L100" s="1163"/>
      <c r="M100" s="1163">
        <f t="shared" si="3"/>
        <v>0</v>
      </c>
      <c r="N100" s="1163">
        <f t="shared" si="4"/>
        <v>0</v>
      </c>
    </row>
    <row r="101" spans="1:16" ht="62" outlineLevel="1" x14ac:dyDescent="0.25">
      <c r="A101" s="1160">
        <v>3</v>
      </c>
      <c r="B101" s="1169" t="s">
        <v>1515</v>
      </c>
      <c r="C101" s="1162"/>
      <c r="D101" s="1081" t="s">
        <v>915</v>
      </c>
      <c r="E101" s="1163">
        <v>0</v>
      </c>
      <c r="F101" s="1158">
        <v>0</v>
      </c>
      <c r="G101" s="1158">
        <v>0</v>
      </c>
      <c r="H101" s="1163">
        <f t="shared" si="2"/>
        <v>0</v>
      </c>
      <c r="I101" s="1163">
        <v>0</v>
      </c>
      <c r="J101" s="1163">
        <v>0</v>
      </c>
      <c r="K101" s="1163"/>
      <c r="L101" s="1163"/>
      <c r="M101" s="1163">
        <f t="shared" si="3"/>
        <v>0</v>
      </c>
      <c r="N101" s="1163">
        <f t="shared" si="4"/>
        <v>0</v>
      </c>
    </row>
    <row r="102" spans="1:16" ht="16" outlineLevel="1" thickBot="1" x14ac:dyDescent="0.3">
      <c r="A102" s="1160">
        <v>4</v>
      </c>
      <c r="B102" s="1169" t="s">
        <v>1514</v>
      </c>
      <c r="C102" s="1162"/>
      <c r="D102" s="1081" t="s">
        <v>915</v>
      </c>
      <c r="E102" s="1163">
        <v>0</v>
      </c>
      <c r="F102" s="1158">
        <v>0</v>
      </c>
      <c r="G102" s="1158">
        <v>0</v>
      </c>
      <c r="H102" s="1163">
        <f t="shared" si="2"/>
        <v>0</v>
      </c>
      <c r="I102" s="1163">
        <v>4.0077621479999994</v>
      </c>
      <c r="J102" s="1163">
        <v>4.0077621479999994</v>
      </c>
      <c r="K102" s="1163"/>
      <c r="L102" s="1163"/>
      <c r="M102" s="1163">
        <f t="shared" si="3"/>
        <v>4.0077621479999994</v>
      </c>
      <c r="N102" s="1163">
        <f t="shared" si="4"/>
        <v>0</v>
      </c>
    </row>
    <row r="103" spans="1:16" s="1083" customFormat="1" ht="16" thickBot="1" x14ac:dyDescent="0.3">
      <c r="A103" s="1080"/>
      <c r="B103" s="1008" t="s">
        <v>271</v>
      </c>
      <c r="C103" s="1078"/>
      <c r="D103" s="1077"/>
      <c r="E103" s="1173"/>
      <c r="F103" s="1174">
        <f t="shared" ref="F103:H103" si="5">SUM(F10:F102)</f>
        <v>5.0301463009999994</v>
      </c>
      <c r="G103" s="1174">
        <f t="shared" si="5"/>
        <v>5.0301463009999994</v>
      </c>
      <c r="H103" s="1174">
        <f t="shared" si="5"/>
        <v>0</v>
      </c>
      <c r="I103" s="1174">
        <f t="shared" ref="I103:N103" si="6">SUM(I10:I102)</f>
        <v>7.794833345999999</v>
      </c>
      <c r="J103" s="1174">
        <f t="shared" si="6"/>
        <v>8.2948333460000008</v>
      </c>
      <c r="K103" s="1174">
        <f t="shared" si="6"/>
        <v>0</v>
      </c>
      <c r="L103" s="1174">
        <f t="shared" si="6"/>
        <v>0</v>
      </c>
      <c r="M103" s="1174">
        <f t="shared" si="6"/>
        <v>8.2948333460000008</v>
      </c>
      <c r="N103" s="1174">
        <f t="shared" si="6"/>
        <v>-0.5</v>
      </c>
    </row>
    <row r="104" spans="1:16" x14ac:dyDescent="0.25">
      <c r="A104" s="535" t="s">
        <v>374</v>
      </c>
      <c r="F104" s="1175"/>
      <c r="G104" s="1175"/>
      <c r="H104" s="1175"/>
      <c r="I104" s="1175"/>
      <c r="J104" s="1175"/>
      <c r="K104" s="1175"/>
      <c r="L104" s="1175"/>
      <c r="M104" s="1175"/>
      <c r="N104" s="1175"/>
    </row>
    <row r="105" spans="1:16" x14ac:dyDescent="0.25">
      <c r="A105" s="1145"/>
      <c r="B105" s="1082" t="s">
        <v>520</v>
      </c>
      <c r="C105" s="1146"/>
      <c r="D105" s="1147"/>
      <c r="E105" s="1148"/>
      <c r="F105" s="1176"/>
      <c r="G105" s="1176"/>
      <c r="H105" s="1176"/>
      <c r="I105" s="1176"/>
      <c r="J105" s="1176"/>
      <c r="K105" s="1176"/>
      <c r="L105" s="1176"/>
      <c r="M105" s="1176"/>
      <c r="N105" s="1176"/>
    </row>
    <row r="106" spans="1:16" ht="15.5" outlineLevel="1" x14ac:dyDescent="0.25">
      <c r="A106" s="1149"/>
      <c r="B106" s="1012" t="str">
        <f t="shared" ref="B106:E113" si="7">B8</f>
        <v>a) DPR Schemes</v>
      </c>
      <c r="C106" s="1146"/>
      <c r="D106" s="1147"/>
      <c r="E106" s="1148"/>
      <c r="F106" s="1176"/>
      <c r="G106" s="1176"/>
      <c r="H106" s="1176"/>
      <c r="I106" s="1176"/>
      <c r="J106" s="1176"/>
      <c r="K106" s="1176"/>
      <c r="L106" s="1176"/>
      <c r="M106" s="1176"/>
      <c r="N106" s="1176"/>
    </row>
    <row r="107" spans="1:16" ht="15.5" outlineLevel="1" x14ac:dyDescent="0.25">
      <c r="A107" s="1149"/>
      <c r="B107" s="1150" t="str">
        <f t="shared" si="7"/>
        <v>(i) Submitted to MERC</v>
      </c>
      <c r="C107" s="1151"/>
      <c r="D107" s="1152"/>
      <c r="E107" s="1148"/>
      <c r="F107" s="1176"/>
      <c r="G107" s="1176"/>
      <c r="H107" s="1176"/>
      <c r="I107" s="1176"/>
      <c r="J107" s="1176"/>
      <c r="K107" s="1176"/>
      <c r="L107" s="1176"/>
      <c r="M107" s="1176"/>
      <c r="N107" s="1176"/>
    </row>
    <row r="108" spans="1:16" ht="31" outlineLevel="1" x14ac:dyDescent="0.25">
      <c r="A108" s="1153">
        <f t="shared" ref="A108:E115" si="8">A10</f>
        <v>2</v>
      </c>
      <c r="B108" s="1154" t="str">
        <f t="shared" si="7"/>
        <v>Various schemes of Hydro Power Stations at HPC Pune &amp; HPC Nasik</v>
      </c>
      <c r="C108" s="1155" t="str">
        <f t="shared" si="7"/>
        <v>MERC/TECH 12/CAPEX/20142015/00876</v>
      </c>
      <c r="D108" s="1156">
        <f t="shared" si="7"/>
        <v>41871</v>
      </c>
      <c r="E108" s="1157">
        <f t="shared" si="7"/>
        <v>0.73120000000000007</v>
      </c>
      <c r="F108" s="1158">
        <f t="shared" ref="F108:F115" si="9">F10+I10</f>
        <v>0</v>
      </c>
      <c r="G108" s="1158">
        <f t="shared" ref="G108:G115" si="10">G10+M10</f>
        <v>0</v>
      </c>
      <c r="H108" s="1158">
        <f>F108-G108</f>
        <v>0</v>
      </c>
      <c r="I108" s="1158">
        <v>0</v>
      </c>
      <c r="J108" s="1158">
        <v>0</v>
      </c>
      <c r="K108" s="1158"/>
      <c r="L108" s="1158"/>
      <c r="M108" s="1158">
        <f>SUM(J108:L108)</f>
        <v>0</v>
      </c>
      <c r="N108" s="1158">
        <f>H108+I108-M108</f>
        <v>0</v>
      </c>
      <c r="O108" s="1159">
        <f t="shared" ref="O108:O139" si="11">MAX(0,IF(M108=0,0,IF(G108+M108&lt;E108,M108,E108-G108)))</f>
        <v>0</v>
      </c>
      <c r="P108" s="1014">
        <f t="shared" ref="P108:P139" si="12">M108-O108</f>
        <v>0</v>
      </c>
    </row>
    <row r="109" spans="1:16" ht="46.5" outlineLevel="1" x14ac:dyDescent="0.25">
      <c r="A109" s="1160">
        <f t="shared" si="8"/>
        <v>2.6</v>
      </c>
      <c r="B109" s="1161" t="str">
        <f t="shared" si="7"/>
        <v>Supply, testing, installation and commissioning of Exide make 300 AH 220 V Lead acid stationary Plante type station battery set for Vaitarna HPS</v>
      </c>
      <c r="C109" s="1162" t="str">
        <f t="shared" si="7"/>
        <v>MERC/TECH 12/CAPEX/20142015/00876</v>
      </c>
      <c r="D109" s="1081">
        <f t="shared" si="7"/>
        <v>41871</v>
      </c>
      <c r="E109" s="1163">
        <f t="shared" si="7"/>
        <v>0.2</v>
      </c>
      <c r="F109" s="1177">
        <f t="shared" si="9"/>
        <v>0.1988615</v>
      </c>
      <c r="G109" s="1177">
        <f t="shared" si="10"/>
        <v>0.1988615</v>
      </c>
      <c r="H109" s="1177">
        <f t="shared" ref="H109:H200" si="13">F109-G109</f>
        <v>0</v>
      </c>
      <c r="I109" s="1158">
        <v>0</v>
      </c>
      <c r="J109" s="1158">
        <v>0</v>
      </c>
      <c r="K109" s="1177"/>
      <c r="L109" s="1177"/>
      <c r="M109" s="1177">
        <f t="shared" ref="M109:M200" si="14">SUM(J109:L109)</f>
        <v>0</v>
      </c>
      <c r="N109" s="1177">
        <f t="shared" ref="N109:N200" si="15">H109+I109-M109</f>
        <v>0</v>
      </c>
      <c r="O109" s="1159">
        <f t="shared" si="11"/>
        <v>0</v>
      </c>
      <c r="P109" s="1014">
        <f t="shared" si="12"/>
        <v>0</v>
      </c>
    </row>
    <row r="110" spans="1:16" ht="46.5" outlineLevel="1" x14ac:dyDescent="0.25">
      <c r="A110" s="1160">
        <f t="shared" si="8"/>
        <v>2.7</v>
      </c>
      <c r="B110" s="1161" t="str">
        <f t="shared" si="7"/>
        <v>Supply, testing, installation and commissioning of Exide make 300 AH 220 V Lead acid stationary Plante type station battery set for Bhatsa HPS</v>
      </c>
      <c r="C110" s="1162" t="str">
        <f t="shared" si="7"/>
        <v>MERC/TECH 12/CAPEX/20142015/00876</v>
      </c>
      <c r="D110" s="1081">
        <f t="shared" si="7"/>
        <v>41871</v>
      </c>
      <c r="E110" s="1163">
        <f t="shared" si="7"/>
        <v>0.2</v>
      </c>
      <c r="F110" s="1177">
        <f t="shared" si="9"/>
        <v>0.1988615</v>
      </c>
      <c r="G110" s="1177">
        <f t="shared" si="10"/>
        <v>0.1988615</v>
      </c>
      <c r="H110" s="1177">
        <f t="shared" si="13"/>
        <v>0</v>
      </c>
      <c r="I110" s="1158">
        <v>0</v>
      </c>
      <c r="J110" s="1158">
        <v>0</v>
      </c>
      <c r="K110" s="1177"/>
      <c r="L110" s="1177"/>
      <c r="M110" s="1177">
        <f t="shared" si="14"/>
        <v>0</v>
      </c>
      <c r="N110" s="1177">
        <f t="shared" si="15"/>
        <v>0</v>
      </c>
      <c r="O110" s="1159">
        <f t="shared" si="11"/>
        <v>0</v>
      </c>
      <c r="P110" s="1014">
        <f t="shared" si="12"/>
        <v>0</v>
      </c>
    </row>
    <row r="111" spans="1:16" ht="29" outlineLevel="1" x14ac:dyDescent="0.25">
      <c r="A111" s="1160">
        <f t="shared" si="8"/>
        <v>0</v>
      </c>
      <c r="B111" s="1161" t="str">
        <f t="shared" si="7"/>
        <v>IDC</v>
      </c>
      <c r="C111" s="1162" t="str">
        <f t="shared" si="7"/>
        <v>MERC/TECH 12/CAPEX/20142015/00876</v>
      </c>
      <c r="D111" s="1081">
        <f t="shared" si="7"/>
        <v>41871</v>
      </c>
      <c r="E111" s="1163">
        <f t="shared" si="7"/>
        <v>0.33119999999999999</v>
      </c>
      <c r="F111" s="1177">
        <f t="shared" si="9"/>
        <v>0</v>
      </c>
      <c r="G111" s="1177">
        <f t="shared" si="10"/>
        <v>0</v>
      </c>
      <c r="H111" s="1177">
        <f t="shared" si="13"/>
        <v>0</v>
      </c>
      <c r="I111" s="1158">
        <v>0</v>
      </c>
      <c r="J111" s="1158">
        <v>0</v>
      </c>
      <c r="K111" s="1177"/>
      <c r="L111" s="1177"/>
      <c r="M111" s="1177">
        <f t="shared" si="14"/>
        <v>0</v>
      </c>
      <c r="N111" s="1177">
        <f t="shared" si="15"/>
        <v>0</v>
      </c>
      <c r="O111" s="1159">
        <f t="shared" si="11"/>
        <v>0</v>
      </c>
      <c r="P111" s="1014">
        <f t="shared" si="12"/>
        <v>0</v>
      </c>
    </row>
    <row r="112" spans="1:16" ht="31" outlineLevel="1" x14ac:dyDescent="0.25">
      <c r="A112" s="1153">
        <f t="shared" si="8"/>
        <v>6</v>
      </c>
      <c r="B112" s="1154" t="str">
        <f t="shared" si="7"/>
        <v>Upgradation of Protection Systems at Ghatghar (2x125MW) and Bhatsa (1x15MW) HPS under HPC Nasik</v>
      </c>
      <c r="C112" s="1155" t="str">
        <f t="shared" si="7"/>
        <v>MERC/CAPEX/20172018/04220</v>
      </c>
      <c r="D112" s="1156">
        <f t="shared" si="7"/>
        <v>42997</v>
      </c>
      <c r="E112" s="1157">
        <f t="shared" si="7"/>
        <v>15.104000000000001</v>
      </c>
      <c r="F112" s="1158">
        <f t="shared" si="9"/>
        <v>0</v>
      </c>
      <c r="G112" s="1158">
        <f t="shared" si="10"/>
        <v>0</v>
      </c>
      <c r="H112" s="1158">
        <f t="shared" si="13"/>
        <v>0</v>
      </c>
      <c r="I112" s="1158">
        <v>0</v>
      </c>
      <c r="J112" s="1158">
        <v>0</v>
      </c>
      <c r="K112" s="1158"/>
      <c r="L112" s="1158"/>
      <c r="M112" s="1158">
        <f t="shared" si="14"/>
        <v>0</v>
      </c>
      <c r="N112" s="1158">
        <f t="shared" si="15"/>
        <v>0</v>
      </c>
      <c r="O112" s="1159">
        <f t="shared" si="11"/>
        <v>0</v>
      </c>
      <c r="P112" s="1014">
        <f t="shared" si="12"/>
        <v>0</v>
      </c>
    </row>
    <row r="113" spans="1:16" ht="31" outlineLevel="1" x14ac:dyDescent="0.25">
      <c r="A113" s="1160">
        <f t="shared" si="8"/>
        <v>6.1</v>
      </c>
      <c r="B113" s="1161" t="str">
        <f t="shared" si="7"/>
        <v>Up gradation of Protection System &amp;unitrol excitation system at Ghatghar Hydro Power Station.</v>
      </c>
      <c r="C113" s="1162" t="str">
        <f t="shared" si="7"/>
        <v>MERC/CAPEX/20172018/04220</v>
      </c>
      <c r="D113" s="1081">
        <f t="shared" si="7"/>
        <v>42997</v>
      </c>
      <c r="E113" s="1163">
        <f t="shared" si="7"/>
        <v>9.6780000000000008</v>
      </c>
      <c r="F113" s="1177">
        <f t="shared" si="9"/>
        <v>0</v>
      </c>
      <c r="G113" s="1177">
        <f t="shared" si="10"/>
        <v>0</v>
      </c>
      <c r="H113" s="1177">
        <f t="shared" si="13"/>
        <v>0</v>
      </c>
      <c r="I113" s="1158">
        <v>0</v>
      </c>
      <c r="J113" s="1158">
        <v>0</v>
      </c>
      <c r="K113" s="1177"/>
      <c r="L113" s="1177"/>
      <c r="M113" s="1177">
        <f t="shared" si="14"/>
        <v>0</v>
      </c>
      <c r="N113" s="1177">
        <f t="shared" si="15"/>
        <v>0</v>
      </c>
      <c r="O113" s="1159">
        <f t="shared" si="11"/>
        <v>0</v>
      </c>
      <c r="P113" s="1014">
        <f t="shared" si="12"/>
        <v>0</v>
      </c>
    </row>
    <row r="114" spans="1:16" ht="31" outlineLevel="1" x14ac:dyDescent="0.25">
      <c r="A114" s="1160">
        <f t="shared" si="8"/>
        <v>0</v>
      </c>
      <c r="B114" s="1161" t="str">
        <f t="shared" si="8"/>
        <v>Part A : upgradation of unitrol excitation system for both units at GHPS</v>
      </c>
      <c r="C114" s="1162">
        <f t="shared" si="8"/>
        <v>0</v>
      </c>
      <c r="D114" s="1081" t="str">
        <f t="shared" si="8"/>
        <v>-</v>
      </c>
      <c r="E114" s="1163">
        <f t="shared" si="8"/>
        <v>0</v>
      </c>
      <c r="F114" s="1177">
        <f t="shared" si="9"/>
        <v>0</v>
      </c>
      <c r="G114" s="1177">
        <f t="shared" si="10"/>
        <v>0</v>
      </c>
      <c r="H114" s="1177">
        <f t="shared" si="13"/>
        <v>0</v>
      </c>
      <c r="I114" s="1158">
        <v>0</v>
      </c>
      <c r="J114" s="1158">
        <v>0</v>
      </c>
      <c r="K114" s="1177"/>
      <c r="L114" s="1177"/>
      <c r="M114" s="1177">
        <f t="shared" ref="M114:M115" si="16">SUM(J114:L114)</f>
        <v>0</v>
      </c>
      <c r="N114" s="1177">
        <f t="shared" si="15"/>
        <v>0</v>
      </c>
      <c r="O114" s="1159"/>
      <c r="P114" s="1014"/>
    </row>
    <row r="115" spans="1:16" ht="15.5" outlineLevel="1" x14ac:dyDescent="0.25">
      <c r="A115" s="1160">
        <f t="shared" si="8"/>
        <v>0</v>
      </c>
      <c r="B115" s="1161" t="str">
        <f t="shared" si="8"/>
        <v>Part B : upgradation of Protection system for both units at GHPS</v>
      </c>
      <c r="C115" s="1162">
        <f t="shared" si="8"/>
        <v>0</v>
      </c>
      <c r="D115" s="1081" t="str">
        <f t="shared" si="8"/>
        <v>-</v>
      </c>
      <c r="E115" s="1163">
        <f t="shared" si="8"/>
        <v>0</v>
      </c>
      <c r="F115" s="1177">
        <f t="shared" si="9"/>
        <v>0</v>
      </c>
      <c r="G115" s="1177">
        <f t="shared" si="10"/>
        <v>0</v>
      </c>
      <c r="H115" s="1177">
        <f t="shared" si="13"/>
        <v>0</v>
      </c>
      <c r="I115" s="1158">
        <v>0</v>
      </c>
      <c r="J115" s="1158">
        <v>0</v>
      </c>
      <c r="K115" s="1177"/>
      <c r="L115" s="1177"/>
      <c r="M115" s="1177">
        <f t="shared" si="16"/>
        <v>0</v>
      </c>
      <c r="N115" s="1177">
        <f t="shared" si="15"/>
        <v>0</v>
      </c>
      <c r="O115" s="1159"/>
      <c r="P115" s="1014"/>
    </row>
    <row r="116" spans="1:16" ht="46.5" outlineLevel="1" x14ac:dyDescent="0.25">
      <c r="A116" s="1160">
        <f>A18</f>
        <v>6.2</v>
      </c>
      <c r="B116" s="1161" t="str">
        <f>B18</f>
        <v>Up gradation of ABB Make Protection System &amp; Automatic Voltage Regulator, Relay Based Unit &amp; Auxiliary control for Bhatsa Hydro Power Station(1 X 15MW).</v>
      </c>
      <c r="C116" s="1162" t="str">
        <f>C18</f>
        <v>MERC/CAPEX/20172018/04220</v>
      </c>
      <c r="D116" s="1081">
        <f>D18</f>
        <v>42997</v>
      </c>
      <c r="E116" s="1163">
        <f>E18</f>
        <v>5.4260000000000002</v>
      </c>
      <c r="F116" s="1177">
        <f>F18+I18</f>
        <v>0</v>
      </c>
      <c r="G116" s="1177">
        <f>G18+M18</f>
        <v>0</v>
      </c>
      <c r="H116" s="1177">
        <f t="shared" si="13"/>
        <v>0</v>
      </c>
      <c r="I116" s="1158">
        <v>0</v>
      </c>
      <c r="J116" s="1158">
        <v>0</v>
      </c>
      <c r="K116" s="1177"/>
      <c r="L116" s="1177"/>
      <c r="M116" s="1177">
        <f t="shared" si="14"/>
        <v>0</v>
      </c>
      <c r="N116" s="1177">
        <f t="shared" si="15"/>
        <v>0</v>
      </c>
      <c r="O116" s="1159">
        <f t="shared" si="11"/>
        <v>0</v>
      </c>
      <c r="P116" s="1014">
        <f t="shared" si="12"/>
        <v>0</v>
      </c>
    </row>
    <row r="117" spans="1:16" ht="46.5" outlineLevel="1" x14ac:dyDescent="0.25">
      <c r="A117" s="1160">
        <f t="shared" ref="A117:E132" si="17">A19</f>
        <v>0</v>
      </c>
      <c r="B117" s="1161" t="str">
        <f t="shared" si="17"/>
        <v xml:space="preserve"> Protection system Part A:- Restoration and up-gradation of electromechanical and static relays with numerical relays along with installation, testing, commissioning, and misc. allied works </v>
      </c>
      <c r="C117" s="1162">
        <f t="shared" si="17"/>
        <v>0</v>
      </c>
      <c r="D117" s="1081" t="str">
        <f t="shared" si="17"/>
        <v>-</v>
      </c>
      <c r="E117" s="1163">
        <f t="shared" si="17"/>
        <v>0</v>
      </c>
      <c r="F117" s="1177">
        <f t="shared" ref="F117:F180" si="18">F19+I19</f>
        <v>0</v>
      </c>
      <c r="G117" s="1177">
        <f t="shared" ref="G117:G180" si="19">G19+M19</f>
        <v>0</v>
      </c>
      <c r="H117" s="1177">
        <f t="shared" si="13"/>
        <v>0</v>
      </c>
      <c r="I117" s="1158">
        <v>0</v>
      </c>
      <c r="J117" s="1158">
        <v>0.45666000000000001</v>
      </c>
      <c r="K117" s="1177"/>
      <c r="L117" s="1177"/>
      <c r="M117" s="1177">
        <f t="shared" ref="M117:M119" si="20">SUM(J117:L117)</f>
        <v>0.45666000000000001</v>
      </c>
      <c r="N117" s="1177">
        <f t="shared" si="15"/>
        <v>-0.45666000000000001</v>
      </c>
      <c r="O117" s="1159"/>
      <c r="P117" s="1014"/>
    </row>
    <row r="118" spans="1:16" ht="31" outlineLevel="1" x14ac:dyDescent="0.25">
      <c r="A118" s="1160">
        <f t="shared" si="17"/>
        <v>0</v>
      </c>
      <c r="B118" s="1161" t="str">
        <f t="shared" si="17"/>
        <v>Protection system Part B:- Procure of redundant &amp; spare Numerical relays for Generator and G T Protection system.</v>
      </c>
      <c r="C118" s="1162">
        <f t="shared" si="17"/>
        <v>0</v>
      </c>
      <c r="D118" s="1081" t="str">
        <f t="shared" si="17"/>
        <v>-</v>
      </c>
      <c r="E118" s="1163">
        <f t="shared" si="17"/>
        <v>0</v>
      </c>
      <c r="F118" s="1177">
        <f t="shared" si="18"/>
        <v>0</v>
      </c>
      <c r="G118" s="1177">
        <f t="shared" si="19"/>
        <v>0</v>
      </c>
      <c r="H118" s="1177">
        <f t="shared" si="13"/>
        <v>0</v>
      </c>
      <c r="I118" s="1158">
        <v>0</v>
      </c>
      <c r="J118" s="1158">
        <v>0</v>
      </c>
      <c r="K118" s="1177"/>
      <c r="L118" s="1177"/>
      <c r="M118" s="1177">
        <f t="shared" si="20"/>
        <v>0</v>
      </c>
      <c r="N118" s="1177">
        <f t="shared" si="15"/>
        <v>0</v>
      </c>
      <c r="O118" s="1159"/>
      <c r="P118" s="1014"/>
    </row>
    <row r="119" spans="1:16" ht="46.5" outlineLevel="1" x14ac:dyDescent="0.25">
      <c r="A119" s="1160">
        <f t="shared" si="17"/>
        <v>0</v>
      </c>
      <c r="B119" s="1161" t="str">
        <f t="shared" si="17"/>
        <v>C- Supply erection, testing and Commissioning and supervision of dismantling and erection of static excitation system and control system along with field instrumentation at Bhatsa HPS</v>
      </c>
      <c r="C119" s="1162">
        <f t="shared" si="17"/>
        <v>0</v>
      </c>
      <c r="D119" s="1081" t="str">
        <f t="shared" si="17"/>
        <v>-</v>
      </c>
      <c r="E119" s="1163">
        <f t="shared" si="17"/>
        <v>0</v>
      </c>
      <c r="F119" s="1177">
        <f t="shared" si="18"/>
        <v>0</v>
      </c>
      <c r="G119" s="1177">
        <f t="shared" si="19"/>
        <v>0</v>
      </c>
      <c r="H119" s="1177">
        <f t="shared" si="13"/>
        <v>0</v>
      </c>
      <c r="I119" s="1158">
        <v>0</v>
      </c>
      <c r="J119" s="1158">
        <v>0</v>
      </c>
      <c r="K119" s="1177"/>
      <c r="L119" s="1177"/>
      <c r="M119" s="1177">
        <f t="shared" si="20"/>
        <v>0</v>
      </c>
      <c r="N119" s="1177">
        <f t="shared" si="15"/>
        <v>0</v>
      </c>
      <c r="O119" s="1159"/>
      <c r="P119" s="1014"/>
    </row>
    <row r="120" spans="1:16" ht="31" outlineLevel="1" x14ac:dyDescent="0.25">
      <c r="A120" s="1153">
        <f t="shared" si="17"/>
        <v>9</v>
      </c>
      <c r="B120" s="1154" t="str">
        <f t="shared" si="17"/>
        <v>Various Civil schemes for Modernisations of colonies at Various Locations under Nasik HPC</v>
      </c>
      <c r="C120" s="1155" t="str">
        <f t="shared" si="17"/>
        <v>MERC/CAPEX/20162017/04757</v>
      </c>
      <c r="D120" s="1156">
        <f t="shared" si="17"/>
        <v>43061</v>
      </c>
      <c r="E120" s="1157">
        <f t="shared" si="17"/>
        <v>14.566664273199997</v>
      </c>
      <c r="F120" s="1158">
        <f t="shared" si="18"/>
        <v>0</v>
      </c>
      <c r="G120" s="1158">
        <f t="shared" si="19"/>
        <v>0</v>
      </c>
      <c r="H120" s="1158">
        <f t="shared" si="13"/>
        <v>0</v>
      </c>
      <c r="I120" s="1158">
        <v>0</v>
      </c>
      <c r="J120" s="1158">
        <v>0</v>
      </c>
      <c r="K120" s="1158"/>
      <c r="L120" s="1158"/>
      <c r="M120" s="1158">
        <f t="shared" si="14"/>
        <v>0</v>
      </c>
      <c r="N120" s="1158">
        <f t="shared" si="15"/>
        <v>0</v>
      </c>
      <c r="O120" s="1159">
        <f t="shared" si="11"/>
        <v>0</v>
      </c>
      <c r="P120" s="1014">
        <f t="shared" si="12"/>
        <v>0</v>
      </c>
    </row>
    <row r="121" spans="1:16" ht="46.5" outlineLevel="1" x14ac:dyDescent="0.25">
      <c r="A121" s="1160">
        <f t="shared" si="17"/>
        <v>9.1</v>
      </c>
      <c r="B121" s="1161" t="str">
        <f t="shared" si="17"/>
        <v>Part A: Refurbishment of quarters in colony, administartive buidings club building, guest house at various HPS under Nashik HPS</v>
      </c>
      <c r="C121" s="1162" t="str">
        <f t="shared" si="17"/>
        <v>MERC/CAPEX/20162017/04757</v>
      </c>
      <c r="D121" s="1081">
        <f t="shared" si="17"/>
        <v>43061</v>
      </c>
      <c r="E121" s="1163">
        <f t="shared" si="17"/>
        <v>3.7363539351999999</v>
      </c>
      <c r="F121" s="1177">
        <f t="shared" si="18"/>
        <v>3.510565551</v>
      </c>
      <c r="G121" s="1177">
        <f t="shared" si="19"/>
        <v>4.0005655510000002</v>
      </c>
      <c r="H121" s="1177">
        <f t="shared" si="13"/>
        <v>-0.49000000000000021</v>
      </c>
      <c r="I121" s="1158">
        <v>0.13142231899999998</v>
      </c>
      <c r="J121" s="1158">
        <v>0.25043559999999998</v>
      </c>
      <c r="K121" s="1177"/>
      <c r="L121" s="1177"/>
      <c r="M121" s="1177">
        <f t="shared" si="14"/>
        <v>0.25043559999999998</v>
      </c>
      <c r="N121" s="1177">
        <f t="shared" si="15"/>
        <v>-0.60901328100000018</v>
      </c>
      <c r="O121" s="1159">
        <f t="shared" si="11"/>
        <v>0</v>
      </c>
      <c r="P121" s="1014">
        <f t="shared" si="12"/>
        <v>0.25043559999999998</v>
      </c>
    </row>
    <row r="122" spans="1:16" ht="31" outlineLevel="1" x14ac:dyDescent="0.25">
      <c r="A122" s="1160">
        <f t="shared" si="17"/>
        <v>9.1999999999999993</v>
      </c>
      <c r="B122" s="1161" t="str">
        <f t="shared" si="17"/>
        <v>Part B: Providing and laying water supply lines within colony and power house area at various HPS under Nashik HPS</v>
      </c>
      <c r="C122" s="1162" t="str">
        <f t="shared" si="17"/>
        <v>MERC/CAPEX/20162017/04757</v>
      </c>
      <c r="D122" s="1081">
        <f t="shared" si="17"/>
        <v>43061</v>
      </c>
      <c r="E122" s="1163">
        <f t="shared" si="17"/>
        <v>0.50088049999999995</v>
      </c>
      <c r="F122" s="1177">
        <f t="shared" si="18"/>
        <v>0.11901328100000001</v>
      </c>
      <c r="G122" s="1177">
        <f t="shared" si="19"/>
        <v>0.11901328100000001</v>
      </c>
      <c r="H122" s="1177">
        <f t="shared" si="13"/>
        <v>0</v>
      </c>
      <c r="I122" s="1158">
        <v>0</v>
      </c>
      <c r="J122" s="1158">
        <v>0</v>
      </c>
      <c r="K122" s="1177"/>
      <c r="L122" s="1177"/>
      <c r="M122" s="1177">
        <f t="shared" si="14"/>
        <v>0</v>
      </c>
      <c r="N122" s="1177">
        <f t="shared" si="15"/>
        <v>0</v>
      </c>
      <c r="O122" s="1159">
        <f t="shared" si="11"/>
        <v>0</v>
      </c>
      <c r="P122" s="1014">
        <f t="shared" si="12"/>
        <v>0</v>
      </c>
    </row>
    <row r="123" spans="1:16" ht="31" outlineLevel="1" x14ac:dyDescent="0.25">
      <c r="A123" s="1160">
        <f t="shared" si="17"/>
        <v>9.3000000000000007</v>
      </c>
      <c r="B123" s="1161" t="str">
        <f t="shared" si="17"/>
        <v>Part C: Construction of compund wall/chainlink fencing around colony and power house area at various HPS under Nashik HPS.</v>
      </c>
      <c r="C123" s="1162" t="str">
        <f t="shared" si="17"/>
        <v>MERC/CAPEX/20162017/04757</v>
      </c>
      <c r="D123" s="1081">
        <f t="shared" si="17"/>
        <v>43061</v>
      </c>
      <c r="E123" s="1163">
        <f t="shared" si="17"/>
        <v>0.74832697199999998</v>
      </c>
      <c r="F123" s="1177">
        <f t="shared" si="18"/>
        <v>0.17</v>
      </c>
      <c r="G123" s="1177">
        <f t="shared" si="19"/>
        <v>0.17</v>
      </c>
      <c r="H123" s="1177">
        <f t="shared" si="13"/>
        <v>0</v>
      </c>
      <c r="I123" s="1158">
        <v>0</v>
      </c>
      <c r="J123" s="1158">
        <v>0</v>
      </c>
      <c r="K123" s="1177"/>
      <c r="L123" s="1177"/>
      <c r="M123" s="1177">
        <f t="shared" si="14"/>
        <v>0</v>
      </c>
      <c r="N123" s="1177">
        <f t="shared" si="15"/>
        <v>0</v>
      </c>
      <c r="O123" s="1159">
        <f t="shared" si="11"/>
        <v>0</v>
      </c>
      <c r="P123" s="1014">
        <f t="shared" si="12"/>
        <v>0</v>
      </c>
    </row>
    <row r="124" spans="1:16" ht="62" outlineLevel="1" x14ac:dyDescent="0.25">
      <c r="A124" s="1160">
        <f t="shared" si="17"/>
        <v>9.4</v>
      </c>
      <c r="B124" s="1161" t="str">
        <f t="shared" si="17"/>
        <v>Part D: Providing &amp; relaying of existing internal roads within colony area and approach roads to power house &amp; construction of storm water gutter along road at various HPS under HPC Nashik</v>
      </c>
      <c r="C124" s="1162" t="str">
        <f t="shared" si="17"/>
        <v>MERC/CAPEX/20162017/04757</v>
      </c>
      <c r="D124" s="1081">
        <f t="shared" si="17"/>
        <v>43061</v>
      </c>
      <c r="E124" s="1163">
        <f t="shared" si="17"/>
        <v>9.5811028659999984</v>
      </c>
      <c r="F124" s="1177">
        <f t="shared" si="18"/>
        <v>4.0537161709999996</v>
      </c>
      <c r="G124" s="1177">
        <f t="shared" si="19"/>
        <v>4.0537161709999996</v>
      </c>
      <c r="H124" s="1177">
        <f t="shared" si="13"/>
        <v>0</v>
      </c>
      <c r="I124" s="1158">
        <v>0</v>
      </c>
      <c r="J124" s="1158">
        <v>0</v>
      </c>
      <c r="K124" s="1177"/>
      <c r="L124" s="1177"/>
      <c r="M124" s="1177">
        <f t="shared" si="14"/>
        <v>0</v>
      </c>
      <c r="N124" s="1177">
        <f t="shared" si="15"/>
        <v>0</v>
      </c>
      <c r="O124" s="1159">
        <f t="shared" si="11"/>
        <v>0</v>
      </c>
      <c r="P124" s="1014">
        <f t="shared" si="12"/>
        <v>0</v>
      </c>
    </row>
    <row r="125" spans="1:16" ht="46.5" outlineLevel="1" x14ac:dyDescent="0.25">
      <c r="A125" s="1153">
        <f t="shared" si="17"/>
        <v>10</v>
      </c>
      <c r="B125" s="1154" t="str">
        <f t="shared" si="17"/>
        <v>Upgradation of existing PLC system to latest symphony plus SCADA &amp; DCS system of Ghatghar HPS (2x125 MW) under HPS Nasik</v>
      </c>
      <c r="C125" s="1155" t="str">
        <f t="shared" si="17"/>
        <v>MERC/CAPEX/20172018/0198</v>
      </c>
      <c r="D125" s="1156">
        <f t="shared" si="17"/>
        <v>43137</v>
      </c>
      <c r="E125" s="1157">
        <f t="shared" si="17"/>
        <v>13.345000000000001</v>
      </c>
      <c r="F125" s="1158">
        <f t="shared" si="18"/>
        <v>0</v>
      </c>
      <c r="G125" s="1158">
        <f t="shared" si="19"/>
        <v>0</v>
      </c>
      <c r="H125" s="1158">
        <f t="shared" si="13"/>
        <v>0</v>
      </c>
      <c r="I125" s="1158">
        <v>0</v>
      </c>
      <c r="J125" s="1158">
        <v>0</v>
      </c>
      <c r="K125" s="1158"/>
      <c r="L125" s="1158"/>
      <c r="M125" s="1158">
        <f t="shared" si="14"/>
        <v>0</v>
      </c>
      <c r="N125" s="1158">
        <f t="shared" si="15"/>
        <v>0</v>
      </c>
      <c r="O125" s="1159">
        <f t="shared" si="11"/>
        <v>0</v>
      </c>
      <c r="P125" s="1014">
        <f t="shared" si="12"/>
        <v>0</v>
      </c>
    </row>
    <row r="126" spans="1:16" ht="46.5" outlineLevel="1" x14ac:dyDescent="0.25">
      <c r="A126" s="1160">
        <f t="shared" si="17"/>
        <v>10.1</v>
      </c>
      <c r="B126" s="1161" t="str">
        <f t="shared" si="17"/>
        <v>Upgradation of existing PLC system to latest symphony plus SCADA &amp; DCS system of Ghatghar HPS (2x125 MW) under HPS Nasik</v>
      </c>
      <c r="C126" s="1162" t="str">
        <f t="shared" si="17"/>
        <v>MERC/CAPEX/20172018/0198</v>
      </c>
      <c r="D126" s="1081">
        <f t="shared" si="17"/>
        <v>43137</v>
      </c>
      <c r="E126" s="1163">
        <f t="shared" si="17"/>
        <v>13.345000000000001</v>
      </c>
      <c r="F126" s="1177">
        <f t="shared" si="18"/>
        <v>0</v>
      </c>
      <c r="G126" s="1177">
        <f t="shared" si="19"/>
        <v>0</v>
      </c>
      <c r="H126" s="1177">
        <f t="shared" si="13"/>
        <v>0</v>
      </c>
      <c r="I126" s="1158">
        <v>0</v>
      </c>
      <c r="J126" s="1158">
        <v>0</v>
      </c>
      <c r="K126" s="1177"/>
      <c r="L126" s="1177"/>
      <c r="M126" s="1177">
        <f t="shared" si="14"/>
        <v>0</v>
      </c>
      <c r="N126" s="1177">
        <f t="shared" si="15"/>
        <v>0</v>
      </c>
      <c r="O126" s="1159">
        <f t="shared" si="11"/>
        <v>0</v>
      </c>
      <c r="P126" s="1014">
        <f t="shared" si="12"/>
        <v>0</v>
      </c>
    </row>
    <row r="127" spans="1:16" ht="31" outlineLevel="1" x14ac:dyDescent="0.25">
      <c r="A127" s="1153">
        <f t="shared" si="17"/>
        <v>14</v>
      </c>
      <c r="B127" s="1154" t="str">
        <f t="shared" si="17"/>
        <v>Various 14 Nos. of schemes for Hydro Power Stations under Renewable Energy Circle, Pune &amp; Nasik</v>
      </c>
      <c r="C127" s="1155" t="str">
        <f t="shared" si="17"/>
        <v>MERC/CAPEX/2020-21/WFH/SBR/ 19</v>
      </c>
      <c r="D127" s="1156">
        <f t="shared" si="17"/>
        <v>44029</v>
      </c>
      <c r="E127" s="1157">
        <f t="shared" si="17"/>
        <v>8.9129999999999985</v>
      </c>
      <c r="F127" s="1158">
        <f t="shared" si="18"/>
        <v>0</v>
      </c>
      <c r="G127" s="1158">
        <f t="shared" si="19"/>
        <v>0</v>
      </c>
      <c r="H127" s="1158">
        <f t="shared" si="13"/>
        <v>0</v>
      </c>
      <c r="I127" s="1158">
        <v>0</v>
      </c>
      <c r="J127" s="1158">
        <v>0</v>
      </c>
      <c r="K127" s="1158"/>
      <c r="L127" s="1158"/>
      <c r="M127" s="1158">
        <f t="shared" si="14"/>
        <v>0</v>
      </c>
      <c r="N127" s="1158">
        <f t="shared" si="15"/>
        <v>0</v>
      </c>
      <c r="O127" s="1159">
        <f t="shared" si="11"/>
        <v>0</v>
      </c>
      <c r="P127" s="1014">
        <f t="shared" si="12"/>
        <v>0</v>
      </c>
    </row>
    <row r="128" spans="1:16" ht="31" outlineLevel="1" x14ac:dyDescent="0.25">
      <c r="A128" s="1164">
        <f t="shared" si="17"/>
        <v>14.1</v>
      </c>
      <c r="B128" s="1161" t="str">
        <f t="shared" si="17"/>
        <v>Schme-C :Replacement of existing Energy meters by 0.2S Class Energy meters at various HPS.</v>
      </c>
      <c r="C128" s="1162" t="str">
        <f t="shared" si="17"/>
        <v>MERC/CAPEX/2020-21/WFH/SBR/ 19</v>
      </c>
      <c r="D128" s="1081">
        <f t="shared" si="17"/>
        <v>44029</v>
      </c>
      <c r="E128" s="1163">
        <f t="shared" si="17"/>
        <v>0.10199999999999999</v>
      </c>
      <c r="F128" s="1177">
        <f t="shared" si="18"/>
        <v>0</v>
      </c>
      <c r="G128" s="1177">
        <f t="shared" si="19"/>
        <v>0</v>
      </c>
      <c r="H128" s="1177">
        <f t="shared" si="13"/>
        <v>0</v>
      </c>
      <c r="I128" s="1158">
        <v>0</v>
      </c>
      <c r="J128" s="1158">
        <v>0</v>
      </c>
      <c r="K128" s="1177"/>
      <c r="L128" s="1177"/>
      <c r="M128" s="1177">
        <f t="shared" si="14"/>
        <v>0</v>
      </c>
      <c r="N128" s="1177">
        <f t="shared" si="15"/>
        <v>0</v>
      </c>
      <c r="O128" s="1159">
        <f t="shared" si="11"/>
        <v>0</v>
      </c>
      <c r="P128" s="1014">
        <f t="shared" si="12"/>
        <v>0</v>
      </c>
    </row>
    <row r="129" spans="1:16" ht="31" outlineLevel="1" x14ac:dyDescent="0.25">
      <c r="A129" s="1164">
        <f t="shared" si="17"/>
        <v>14.2</v>
      </c>
      <c r="B129" s="1161" t="str">
        <f t="shared" si="17"/>
        <v>Schme-F: Replacement of 220V / 300AH Float cum boost charger with integrated DCDB for Bhatsa Hydro Power Stn.</v>
      </c>
      <c r="C129" s="1162" t="str">
        <f t="shared" si="17"/>
        <v>MERC/CAPEX/2020-21/WFH/SBR/ 19</v>
      </c>
      <c r="D129" s="1081">
        <f t="shared" si="17"/>
        <v>44029</v>
      </c>
      <c r="E129" s="1163">
        <f t="shared" si="17"/>
        <v>0.17299999999999999</v>
      </c>
      <c r="F129" s="1177">
        <f t="shared" si="18"/>
        <v>0</v>
      </c>
      <c r="G129" s="1177">
        <f t="shared" si="19"/>
        <v>0</v>
      </c>
      <c r="H129" s="1177">
        <f t="shared" si="13"/>
        <v>0</v>
      </c>
      <c r="I129" s="1158">
        <v>0.11446000000000001</v>
      </c>
      <c r="J129" s="1158">
        <v>0.11446000000000001</v>
      </c>
      <c r="K129" s="1177"/>
      <c r="L129" s="1177"/>
      <c r="M129" s="1177">
        <f t="shared" si="14"/>
        <v>0.11446000000000001</v>
      </c>
      <c r="N129" s="1177">
        <f t="shared" si="15"/>
        <v>0</v>
      </c>
      <c r="O129" s="1159">
        <f t="shared" si="11"/>
        <v>0.11446000000000001</v>
      </c>
      <c r="P129" s="1014">
        <f t="shared" si="12"/>
        <v>0</v>
      </c>
    </row>
    <row r="130" spans="1:16" ht="31" outlineLevel="1" x14ac:dyDescent="0.25">
      <c r="A130" s="1164">
        <f t="shared" si="17"/>
        <v>14.3</v>
      </c>
      <c r="B130" s="1161" t="str">
        <f t="shared" si="17"/>
        <v>Schme-G: Replacement of 220V / 300AH Float cum boost charger with integrated DCDB for Surya Hydro Power Stn.</v>
      </c>
      <c r="C130" s="1162" t="str">
        <f t="shared" si="17"/>
        <v>MERC/CAPEX/2020-21/WFH/SBR/ 19</v>
      </c>
      <c r="D130" s="1081">
        <f t="shared" si="17"/>
        <v>44029</v>
      </c>
      <c r="E130" s="1163">
        <f t="shared" si="17"/>
        <v>0.17299999999999999</v>
      </c>
      <c r="F130" s="1177">
        <f t="shared" si="18"/>
        <v>0</v>
      </c>
      <c r="G130" s="1177">
        <f t="shared" si="19"/>
        <v>0</v>
      </c>
      <c r="H130" s="1177">
        <f t="shared" si="13"/>
        <v>0</v>
      </c>
      <c r="I130" s="1158">
        <v>0.11446000000000001</v>
      </c>
      <c r="J130" s="1158">
        <v>0.11446000000000001</v>
      </c>
      <c r="K130" s="1177"/>
      <c r="L130" s="1177"/>
      <c r="M130" s="1177">
        <f t="shared" si="14"/>
        <v>0.11446000000000001</v>
      </c>
      <c r="N130" s="1177">
        <f t="shared" si="15"/>
        <v>0</v>
      </c>
      <c r="O130" s="1159">
        <f t="shared" si="11"/>
        <v>0.11446000000000001</v>
      </c>
      <c r="P130" s="1014">
        <f t="shared" si="12"/>
        <v>0</v>
      </c>
    </row>
    <row r="131" spans="1:16" ht="29" outlineLevel="1" x14ac:dyDescent="0.25">
      <c r="A131" s="1164">
        <f t="shared" si="17"/>
        <v>14.4</v>
      </c>
      <c r="B131" s="1161" t="str">
        <f t="shared" si="17"/>
        <v>Schme-H: Supply 24 point Chartless recorder for Bhatsa HPS.</v>
      </c>
      <c r="C131" s="1162" t="str">
        <f t="shared" si="17"/>
        <v>MERC/CAPEX/2020-21/WFH/SBR/ 19</v>
      </c>
      <c r="D131" s="1081">
        <f t="shared" si="17"/>
        <v>44029</v>
      </c>
      <c r="E131" s="1163">
        <f t="shared" si="17"/>
        <v>5.8999999999999997E-2</v>
      </c>
      <c r="F131" s="1177">
        <f t="shared" si="18"/>
        <v>0</v>
      </c>
      <c r="G131" s="1177">
        <f t="shared" si="19"/>
        <v>0</v>
      </c>
      <c r="H131" s="1177">
        <f t="shared" si="13"/>
        <v>0</v>
      </c>
      <c r="I131" s="1158">
        <v>2.02455E-2</v>
      </c>
      <c r="J131" s="1158">
        <v>2.02455E-2</v>
      </c>
      <c r="K131" s="1177"/>
      <c r="L131" s="1177"/>
      <c r="M131" s="1177">
        <f t="shared" si="14"/>
        <v>2.02455E-2</v>
      </c>
      <c r="N131" s="1177">
        <f t="shared" si="15"/>
        <v>0</v>
      </c>
      <c r="O131" s="1159">
        <f t="shared" si="11"/>
        <v>2.02455E-2</v>
      </c>
      <c r="P131" s="1014">
        <f t="shared" si="12"/>
        <v>0</v>
      </c>
    </row>
    <row r="132" spans="1:16" ht="31" outlineLevel="1" x14ac:dyDescent="0.25">
      <c r="A132" s="1164">
        <f t="shared" si="17"/>
        <v>14.5</v>
      </c>
      <c r="B132" s="1161" t="str">
        <f t="shared" si="17"/>
        <v>Schme-I: Supply Erection, testing &amp; commissioning of Digital governing system for 06MW Surya HPS.</v>
      </c>
      <c r="C132" s="1162" t="str">
        <f t="shared" si="17"/>
        <v>MERC/CAPEX/2020-21/WFH/SBR/ 19</v>
      </c>
      <c r="D132" s="1081">
        <f t="shared" si="17"/>
        <v>44029</v>
      </c>
      <c r="E132" s="1163">
        <f t="shared" si="17"/>
        <v>1.954</v>
      </c>
      <c r="F132" s="1177">
        <f t="shared" si="18"/>
        <v>0</v>
      </c>
      <c r="G132" s="1177">
        <f t="shared" si="19"/>
        <v>0</v>
      </c>
      <c r="H132" s="1177">
        <f t="shared" si="13"/>
        <v>0</v>
      </c>
      <c r="I132" s="1158">
        <v>0</v>
      </c>
      <c r="J132" s="1158">
        <v>0</v>
      </c>
      <c r="K132" s="1177"/>
      <c r="L132" s="1177"/>
      <c r="M132" s="1177">
        <f t="shared" si="14"/>
        <v>0</v>
      </c>
      <c r="N132" s="1177">
        <f t="shared" si="15"/>
        <v>0</v>
      </c>
      <c r="O132" s="1159">
        <f t="shared" si="11"/>
        <v>0</v>
      </c>
      <c r="P132" s="1014">
        <f t="shared" si="12"/>
        <v>0</v>
      </c>
    </row>
    <row r="133" spans="1:16" ht="46.5" outlineLevel="1" x14ac:dyDescent="0.25">
      <c r="A133" s="1164">
        <f t="shared" ref="A133:E148" si="21">A35</f>
        <v>14.6</v>
      </c>
      <c r="B133" s="1161" t="str">
        <f t="shared" si="21"/>
        <v>Schme-J: Supply, Erection, testing &amp; commissioning of Digital governing system and Hydraulic oil pressure unit for 15 MW Bhatsa HPS.</v>
      </c>
      <c r="C133" s="1162" t="str">
        <f t="shared" si="21"/>
        <v>MERC/CAPEX/2020-21/WFH/SBR/ 19</v>
      </c>
      <c r="D133" s="1081">
        <f t="shared" si="21"/>
        <v>44029</v>
      </c>
      <c r="E133" s="1163">
        <f t="shared" si="21"/>
        <v>2.0270000000000001</v>
      </c>
      <c r="F133" s="1177">
        <f t="shared" si="18"/>
        <v>0</v>
      </c>
      <c r="G133" s="1177">
        <f t="shared" si="19"/>
        <v>0</v>
      </c>
      <c r="H133" s="1177">
        <f t="shared" si="13"/>
        <v>0</v>
      </c>
      <c r="I133" s="1158">
        <v>2.0502972000000002</v>
      </c>
      <c r="J133" s="1158">
        <v>1.5936372000000001</v>
      </c>
      <c r="K133" s="1177"/>
      <c r="L133" s="1177"/>
      <c r="M133" s="1177">
        <f t="shared" si="14"/>
        <v>1.5936372000000001</v>
      </c>
      <c r="N133" s="1177">
        <f t="shared" si="15"/>
        <v>0.45666000000000007</v>
      </c>
      <c r="O133" s="1159">
        <f t="shared" si="11"/>
        <v>1.5936372000000001</v>
      </c>
      <c r="P133" s="1014">
        <f t="shared" si="12"/>
        <v>0</v>
      </c>
    </row>
    <row r="134" spans="1:16" ht="31" outlineLevel="1" x14ac:dyDescent="0.25">
      <c r="A134" s="1164">
        <f t="shared" si="21"/>
        <v>14.7</v>
      </c>
      <c r="B134" s="1161" t="str">
        <f t="shared" si="21"/>
        <v>Schme-K: Supply, Retrofitting, up gradation, Commissioning of Generator protection system at Paithan HPS.</v>
      </c>
      <c r="C134" s="1162" t="str">
        <f t="shared" si="21"/>
        <v>MERC/CAPEX/2020-21/WFH/SBR/ 19</v>
      </c>
      <c r="D134" s="1081">
        <f t="shared" si="21"/>
        <v>44029</v>
      </c>
      <c r="E134" s="1163">
        <f t="shared" si="21"/>
        <v>0.87</v>
      </c>
      <c r="F134" s="1177">
        <f t="shared" si="18"/>
        <v>0</v>
      </c>
      <c r="G134" s="1177">
        <f t="shared" si="19"/>
        <v>0</v>
      </c>
      <c r="H134" s="1177">
        <f t="shared" si="13"/>
        <v>0</v>
      </c>
      <c r="I134" s="1158">
        <v>0</v>
      </c>
      <c r="J134" s="1158">
        <v>0</v>
      </c>
      <c r="K134" s="1177"/>
      <c r="L134" s="1177"/>
      <c r="M134" s="1177">
        <f t="shared" si="14"/>
        <v>0</v>
      </c>
      <c r="N134" s="1177">
        <f t="shared" si="15"/>
        <v>0</v>
      </c>
      <c r="O134" s="1159">
        <f t="shared" si="11"/>
        <v>0</v>
      </c>
      <c r="P134" s="1014">
        <f t="shared" si="12"/>
        <v>0</v>
      </c>
    </row>
    <row r="135" spans="1:16" ht="31" outlineLevel="1" x14ac:dyDescent="0.25">
      <c r="A135" s="1164">
        <f t="shared" si="21"/>
        <v>14.8</v>
      </c>
      <c r="B135" s="1161" t="str">
        <f t="shared" si="21"/>
        <v>Schme-L: Replacement of existing compressor with new compressor (1 Nos.) at Paithan HPS</v>
      </c>
      <c r="C135" s="1162" t="str">
        <f t="shared" si="21"/>
        <v>MERC/CAPEX/2020-21/WFH/SBR/ 19</v>
      </c>
      <c r="D135" s="1081">
        <f t="shared" si="21"/>
        <v>44029</v>
      </c>
      <c r="E135" s="1163">
        <f t="shared" si="21"/>
        <v>0.46700000000000003</v>
      </c>
      <c r="F135" s="1177">
        <f t="shared" si="18"/>
        <v>0</v>
      </c>
      <c r="G135" s="1177">
        <f t="shared" si="19"/>
        <v>0</v>
      </c>
      <c r="H135" s="1177">
        <f t="shared" si="13"/>
        <v>0</v>
      </c>
      <c r="I135" s="1158">
        <v>0</v>
      </c>
      <c r="J135" s="1158">
        <v>0</v>
      </c>
      <c r="K135" s="1177"/>
      <c r="L135" s="1177"/>
      <c r="M135" s="1177">
        <f t="shared" si="14"/>
        <v>0</v>
      </c>
      <c r="N135" s="1177">
        <f t="shared" si="15"/>
        <v>0</v>
      </c>
      <c r="O135" s="1159">
        <f t="shared" si="11"/>
        <v>0</v>
      </c>
      <c r="P135" s="1014">
        <f t="shared" si="12"/>
        <v>0</v>
      </c>
    </row>
    <row r="136" spans="1:16" ht="46.5" outlineLevel="1" x14ac:dyDescent="0.25">
      <c r="A136" s="1164">
        <f t="shared" si="21"/>
        <v>14.9</v>
      </c>
      <c r="B136" s="1161" t="str">
        <f t="shared" si="21"/>
        <v>Schme-M: Retrofitting, up gradation &amp; Commissioning of Protection System for Generator, Transformer and Line at Surya Hydro Power Station</v>
      </c>
      <c r="C136" s="1162" t="str">
        <f t="shared" si="21"/>
        <v>MERC/CAPEX/2020-21/WFH/SBR/ 19</v>
      </c>
      <c r="D136" s="1081">
        <f t="shared" si="21"/>
        <v>44029</v>
      </c>
      <c r="E136" s="1163">
        <f t="shared" si="21"/>
        <v>0.69100000000000006</v>
      </c>
      <c r="F136" s="1177">
        <f t="shared" si="18"/>
        <v>0</v>
      </c>
      <c r="G136" s="1177">
        <f t="shared" si="19"/>
        <v>0</v>
      </c>
      <c r="H136" s="1177">
        <f t="shared" si="13"/>
        <v>0</v>
      </c>
      <c r="I136" s="1158">
        <v>0.69730939999999997</v>
      </c>
      <c r="J136" s="1158">
        <v>0.68498999999999999</v>
      </c>
      <c r="K136" s="1177"/>
      <c r="L136" s="1177"/>
      <c r="M136" s="1177">
        <f t="shared" si="14"/>
        <v>0.68498999999999999</v>
      </c>
      <c r="N136" s="1177">
        <f t="shared" si="15"/>
        <v>1.231939999999998E-2</v>
      </c>
      <c r="O136" s="1159">
        <f t="shared" si="11"/>
        <v>0.68498999999999999</v>
      </c>
      <c r="P136" s="1014">
        <f t="shared" si="12"/>
        <v>0</v>
      </c>
    </row>
    <row r="137" spans="1:16" ht="31" outlineLevel="1" x14ac:dyDescent="0.25">
      <c r="A137" s="1165">
        <f t="shared" si="21"/>
        <v>14.1</v>
      </c>
      <c r="B137" s="1161" t="str">
        <f t="shared" si="21"/>
        <v>Schme-N: Procurement of Static excitation system at Surya Hydro Power Station.</v>
      </c>
      <c r="C137" s="1162" t="str">
        <f t="shared" si="21"/>
        <v>MERC/CAPEX/2020-21/WFH/SBR/ 19</v>
      </c>
      <c r="D137" s="1081">
        <f t="shared" si="21"/>
        <v>44029</v>
      </c>
      <c r="E137" s="1163">
        <f t="shared" si="21"/>
        <v>1.5469999999999999</v>
      </c>
      <c r="F137" s="1177">
        <f t="shared" si="18"/>
        <v>0</v>
      </c>
      <c r="G137" s="1177">
        <f t="shared" si="19"/>
        <v>0</v>
      </c>
      <c r="H137" s="1177">
        <f t="shared" si="13"/>
        <v>0</v>
      </c>
      <c r="I137" s="1158">
        <v>0</v>
      </c>
      <c r="J137" s="1158">
        <v>0</v>
      </c>
      <c r="K137" s="1177"/>
      <c r="L137" s="1177"/>
      <c r="M137" s="1177">
        <f t="shared" si="14"/>
        <v>0</v>
      </c>
      <c r="N137" s="1177">
        <f t="shared" si="15"/>
        <v>0</v>
      </c>
      <c r="O137" s="1159">
        <f t="shared" si="11"/>
        <v>0</v>
      </c>
      <c r="P137" s="1014">
        <f t="shared" si="12"/>
        <v>0</v>
      </c>
    </row>
    <row r="138" spans="1:16" ht="29" outlineLevel="1" x14ac:dyDescent="0.25">
      <c r="A138" s="1160">
        <f t="shared" si="21"/>
        <v>0</v>
      </c>
      <c r="B138" s="1161" t="str">
        <f t="shared" si="21"/>
        <v>IDC</v>
      </c>
      <c r="C138" s="1162" t="str">
        <f t="shared" si="21"/>
        <v>MERC/CAPEX/2020-21/WFH/SBR/ 19</v>
      </c>
      <c r="D138" s="1081">
        <f t="shared" si="21"/>
        <v>44029</v>
      </c>
      <c r="E138" s="1163">
        <f t="shared" si="21"/>
        <v>0.85</v>
      </c>
      <c r="F138" s="1177">
        <f t="shared" si="18"/>
        <v>0</v>
      </c>
      <c r="G138" s="1177">
        <f t="shared" si="19"/>
        <v>0</v>
      </c>
      <c r="H138" s="1177">
        <f t="shared" si="13"/>
        <v>0</v>
      </c>
      <c r="I138" s="1158">
        <v>0</v>
      </c>
      <c r="J138" s="1158">
        <v>0</v>
      </c>
      <c r="K138" s="1177"/>
      <c r="L138" s="1177"/>
      <c r="M138" s="1177">
        <f t="shared" si="14"/>
        <v>0</v>
      </c>
      <c r="N138" s="1177">
        <f t="shared" si="15"/>
        <v>0</v>
      </c>
      <c r="O138" s="1159">
        <f t="shared" si="11"/>
        <v>0</v>
      </c>
      <c r="P138" s="1014">
        <f t="shared" si="12"/>
        <v>0</v>
      </c>
    </row>
    <row r="139" spans="1:16" ht="15.5" outlineLevel="1" x14ac:dyDescent="0.25">
      <c r="A139" s="1160">
        <f t="shared" si="21"/>
        <v>0</v>
      </c>
      <c r="B139" s="1161">
        <f t="shared" si="21"/>
        <v>0</v>
      </c>
      <c r="C139" s="984">
        <f t="shared" si="21"/>
        <v>0</v>
      </c>
      <c r="D139" s="1081" t="str">
        <f t="shared" si="21"/>
        <v>-</v>
      </c>
      <c r="E139" s="1178">
        <f t="shared" si="21"/>
        <v>0</v>
      </c>
      <c r="F139" s="1179">
        <f t="shared" si="18"/>
        <v>0</v>
      </c>
      <c r="G139" s="1179">
        <f t="shared" si="19"/>
        <v>0</v>
      </c>
      <c r="H139" s="1179">
        <f t="shared" si="13"/>
        <v>0</v>
      </c>
      <c r="I139" s="1158">
        <v>0</v>
      </c>
      <c r="J139" s="1158">
        <v>0</v>
      </c>
      <c r="K139" s="1179"/>
      <c r="L139" s="1179"/>
      <c r="M139" s="1179">
        <f t="shared" si="14"/>
        <v>0</v>
      </c>
      <c r="N139" s="1179">
        <f t="shared" si="15"/>
        <v>0</v>
      </c>
      <c r="O139" s="1159">
        <f t="shared" si="11"/>
        <v>0</v>
      </c>
      <c r="P139" s="1014">
        <f t="shared" si="12"/>
        <v>0</v>
      </c>
    </row>
    <row r="140" spans="1:16" ht="15.5" outlineLevel="1" x14ac:dyDescent="0.25">
      <c r="A140" s="1047">
        <f t="shared" si="21"/>
        <v>0</v>
      </c>
      <c r="B140" s="1150" t="str">
        <f t="shared" si="21"/>
        <v>Yet to be approved by MERC (F Y 2024-25)</v>
      </c>
      <c r="C140" s="984">
        <f t="shared" si="21"/>
        <v>0</v>
      </c>
      <c r="D140" s="1081" t="str">
        <f t="shared" si="21"/>
        <v>-</v>
      </c>
      <c r="E140" s="1178">
        <f t="shared" si="21"/>
        <v>0</v>
      </c>
      <c r="F140" s="1179">
        <f t="shared" si="18"/>
        <v>0</v>
      </c>
      <c r="G140" s="1179">
        <f t="shared" si="19"/>
        <v>0</v>
      </c>
      <c r="H140" s="1179">
        <f t="shared" si="13"/>
        <v>0</v>
      </c>
      <c r="I140" s="1158">
        <v>0</v>
      </c>
      <c r="J140" s="1158">
        <v>0</v>
      </c>
      <c r="K140" s="1179"/>
      <c r="L140" s="1179"/>
      <c r="M140" s="1179">
        <f t="shared" si="14"/>
        <v>0</v>
      </c>
      <c r="N140" s="1179">
        <f t="shared" si="15"/>
        <v>0</v>
      </c>
    </row>
    <row r="141" spans="1:16" ht="46.5" outlineLevel="1" x14ac:dyDescent="0.25">
      <c r="A141" s="1044">
        <f t="shared" si="21"/>
        <v>1</v>
      </c>
      <c r="B141" s="1169" t="str">
        <f t="shared" si="21"/>
        <v xml:space="preserve">Post-facto DPR for “Urgent restoration and Life Enhancement
of Unit-1, 125MW M/s Fuji make Hydro Generator for
prolonged efficient operation at Ghatghar HPS                                            </v>
      </c>
      <c r="C141" s="1155">
        <f t="shared" si="21"/>
        <v>0</v>
      </c>
      <c r="D141" s="1156" t="str">
        <f t="shared" si="21"/>
        <v>-</v>
      </c>
      <c r="E141" s="1157">
        <f t="shared" si="21"/>
        <v>0</v>
      </c>
      <c r="F141" s="1180">
        <f t="shared" si="18"/>
        <v>0</v>
      </c>
      <c r="G141" s="1180">
        <f t="shared" si="19"/>
        <v>0</v>
      </c>
      <c r="H141" s="1180">
        <f t="shared" si="13"/>
        <v>0</v>
      </c>
      <c r="I141" s="1158">
        <v>0</v>
      </c>
      <c r="J141" s="1158">
        <v>0</v>
      </c>
      <c r="K141" s="1180"/>
      <c r="L141" s="1180"/>
      <c r="M141" s="1180">
        <f t="shared" si="14"/>
        <v>0</v>
      </c>
      <c r="N141" s="1180">
        <f t="shared" si="15"/>
        <v>0</v>
      </c>
    </row>
    <row r="142" spans="1:16" ht="31" outlineLevel="1" x14ac:dyDescent="0.25">
      <c r="A142" s="1044">
        <f t="shared" si="21"/>
        <v>2</v>
      </c>
      <c r="B142" s="1169" t="str">
        <f t="shared" si="21"/>
        <v>Dismantling and assembly of Unit-2 stator and other allied works at Ghatghar HPS</v>
      </c>
      <c r="C142" s="1162">
        <f t="shared" si="21"/>
        <v>0</v>
      </c>
      <c r="D142" s="1081" t="str">
        <f t="shared" si="21"/>
        <v>-</v>
      </c>
      <c r="E142" s="1163">
        <f t="shared" si="21"/>
        <v>0</v>
      </c>
      <c r="F142" s="1177">
        <f t="shared" si="18"/>
        <v>0</v>
      </c>
      <c r="G142" s="1177">
        <f t="shared" si="19"/>
        <v>0</v>
      </c>
      <c r="H142" s="1177">
        <f t="shared" si="13"/>
        <v>0</v>
      </c>
      <c r="I142" s="1158">
        <v>0</v>
      </c>
      <c r="J142" s="1158">
        <v>0</v>
      </c>
      <c r="K142" s="1177"/>
      <c r="L142" s="1177"/>
      <c r="M142" s="1177">
        <f t="shared" si="14"/>
        <v>0</v>
      </c>
      <c r="N142" s="1177">
        <f t="shared" si="15"/>
        <v>0</v>
      </c>
    </row>
    <row r="143" spans="1:16" ht="46.5" outlineLevel="1" x14ac:dyDescent="0.25">
      <c r="A143" s="1044">
        <f t="shared" si="21"/>
        <v>3</v>
      </c>
      <c r="B143" s="1169" t="str">
        <f t="shared" si="21"/>
        <v>Urgent restoration and Life Enhancement of Unit-2, 125MW M/s Fuji make Hydro Generator for prolonged efficient operation at Ghatghar HPS</v>
      </c>
      <c r="C143" s="1162">
        <f t="shared" si="21"/>
        <v>0</v>
      </c>
      <c r="D143" s="1081" t="str">
        <f t="shared" si="21"/>
        <v>-</v>
      </c>
      <c r="E143" s="1163">
        <f t="shared" si="21"/>
        <v>0</v>
      </c>
      <c r="F143" s="1177">
        <f t="shared" si="18"/>
        <v>0</v>
      </c>
      <c r="G143" s="1177">
        <f t="shared" si="19"/>
        <v>0</v>
      </c>
      <c r="H143" s="1177">
        <f t="shared" si="13"/>
        <v>0</v>
      </c>
      <c r="I143" s="1158">
        <v>0</v>
      </c>
      <c r="J143" s="1158">
        <v>0</v>
      </c>
      <c r="K143" s="1177"/>
      <c r="L143" s="1177"/>
      <c r="M143" s="1177">
        <f t="shared" si="14"/>
        <v>0</v>
      </c>
      <c r="N143" s="1177">
        <f t="shared" si="15"/>
        <v>0</v>
      </c>
    </row>
    <row r="144" spans="1:16" ht="31" outlineLevel="1" x14ac:dyDescent="0.25">
      <c r="A144" s="1168">
        <f t="shared" si="21"/>
        <v>4</v>
      </c>
      <c r="B144" s="1169" t="str">
        <f t="shared" si="21"/>
        <v>Work of unit 2 stator core top lamination replacement work of GHPS</v>
      </c>
      <c r="C144" s="1162">
        <f t="shared" si="21"/>
        <v>0</v>
      </c>
      <c r="D144" s="1081" t="str">
        <f t="shared" si="21"/>
        <v>-</v>
      </c>
      <c r="E144" s="1163">
        <f t="shared" si="21"/>
        <v>0</v>
      </c>
      <c r="F144" s="1177">
        <f t="shared" si="18"/>
        <v>0</v>
      </c>
      <c r="G144" s="1177">
        <f t="shared" si="19"/>
        <v>0</v>
      </c>
      <c r="H144" s="1177">
        <f t="shared" si="13"/>
        <v>0</v>
      </c>
      <c r="I144" s="1158">
        <v>0</v>
      </c>
      <c r="J144" s="1158">
        <v>0</v>
      </c>
      <c r="K144" s="1177"/>
      <c r="L144" s="1177"/>
      <c r="M144" s="1177">
        <f t="shared" si="14"/>
        <v>0</v>
      </c>
      <c r="N144" s="1177">
        <f t="shared" si="15"/>
        <v>0</v>
      </c>
    </row>
    <row r="145" spans="1:14" ht="15.5" outlineLevel="1" x14ac:dyDescent="0.25">
      <c r="A145" s="1011">
        <f t="shared" si="21"/>
        <v>0</v>
      </c>
      <c r="B145" s="1150" t="str">
        <f t="shared" si="21"/>
        <v>(ii) Yet to be submitted to MERC(F Y 2025-26)</v>
      </c>
      <c r="C145" s="1162">
        <f t="shared" si="21"/>
        <v>0</v>
      </c>
      <c r="D145" s="1081" t="str">
        <f t="shared" si="21"/>
        <v>-</v>
      </c>
      <c r="E145" s="1163">
        <f t="shared" si="21"/>
        <v>0</v>
      </c>
      <c r="F145" s="1177">
        <f t="shared" si="18"/>
        <v>0</v>
      </c>
      <c r="G145" s="1177">
        <f t="shared" si="19"/>
        <v>0</v>
      </c>
      <c r="H145" s="1177">
        <f t="shared" si="13"/>
        <v>0</v>
      </c>
      <c r="I145" s="1158">
        <v>0</v>
      </c>
      <c r="J145" s="1158">
        <v>0</v>
      </c>
      <c r="K145" s="1177"/>
      <c r="L145" s="1177"/>
      <c r="M145" s="1177">
        <f t="shared" si="14"/>
        <v>0</v>
      </c>
      <c r="N145" s="1177">
        <f t="shared" si="15"/>
        <v>0</v>
      </c>
    </row>
    <row r="146" spans="1:14" ht="15.5" outlineLevel="1" x14ac:dyDescent="0.25">
      <c r="A146" s="1011">
        <f t="shared" si="21"/>
        <v>0</v>
      </c>
      <c r="B146" s="1150" t="str">
        <f t="shared" si="21"/>
        <v>DPR 1</v>
      </c>
      <c r="C146" s="1162">
        <f t="shared" si="21"/>
        <v>0</v>
      </c>
      <c r="D146" s="1081" t="str">
        <f t="shared" si="21"/>
        <v>-</v>
      </c>
      <c r="E146" s="1163">
        <f t="shared" si="21"/>
        <v>0</v>
      </c>
      <c r="F146" s="1177">
        <f t="shared" si="18"/>
        <v>0</v>
      </c>
      <c r="G146" s="1177">
        <f t="shared" si="19"/>
        <v>0</v>
      </c>
      <c r="H146" s="1177">
        <f t="shared" si="13"/>
        <v>0</v>
      </c>
      <c r="I146" s="1158">
        <v>0</v>
      </c>
      <c r="J146" s="1158">
        <v>0</v>
      </c>
      <c r="K146" s="1177"/>
      <c r="L146" s="1177"/>
      <c r="M146" s="1177">
        <f t="shared" si="14"/>
        <v>0</v>
      </c>
      <c r="N146" s="1177">
        <f t="shared" si="15"/>
        <v>0</v>
      </c>
    </row>
    <row r="147" spans="1:14" ht="31" outlineLevel="1" x14ac:dyDescent="0.25">
      <c r="A147" s="1160">
        <f t="shared" si="21"/>
        <v>1</v>
      </c>
      <c r="B147" s="1169" t="str">
        <f t="shared" si="21"/>
        <v xml:space="preserve">Procurement &amp; commissioning of Battery bank, 55 cells of 2V  2035AH YHP39 Exide make at Ghatghar HPS </v>
      </c>
      <c r="C147" s="1162">
        <f t="shared" si="21"/>
        <v>0</v>
      </c>
      <c r="D147" s="1081" t="str">
        <f t="shared" si="21"/>
        <v>-</v>
      </c>
      <c r="E147" s="1163">
        <f t="shared" si="21"/>
        <v>0</v>
      </c>
      <c r="F147" s="1177">
        <f t="shared" si="18"/>
        <v>0</v>
      </c>
      <c r="G147" s="1177">
        <f t="shared" si="19"/>
        <v>0</v>
      </c>
      <c r="H147" s="1177">
        <f t="shared" si="13"/>
        <v>0</v>
      </c>
      <c r="I147" s="1158">
        <v>0</v>
      </c>
      <c r="J147" s="1158">
        <v>0</v>
      </c>
      <c r="K147" s="1177"/>
      <c r="L147" s="1177"/>
      <c r="M147" s="1177">
        <f t="shared" si="14"/>
        <v>0</v>
      </c>
      <c r="N147" s="1177">
        <f t="shared" si="15"/>
        <v>0</v>
      </c>
    </row>
    <row r="148" spans="1:14" ht="31" outlineLevel="1" x14ac:dyDescent="0.25">
      <c r="A148" s="1160">
        <f t="shared" si="21"/>
        <v>2</v>
      </c>
      <c r="B148" s="1169" t="str">
        <f t="shared" si="21"/>
        <v xml:space="preserve">Complete refurbishment of Stator frame , core &amp; winding of 01 No generator stator at Ghatghar HPS. </v>
      </c>
      <c r="C148" s="1162">
        <f t="shared" si="21"/>
        <v>0</v>
      </c>
      <c r="D148" s="1081" t="str">
        <f t="shared" si="21"/>
        <v>-</v>
      </c>
      <c r="E148" s="1163">
        <f t="shared" si="21"/>
        <v>0</v>
      </c>
      <c r="F148" s="1177">
        <f t="shared" si="18"/>
        <v>0</v>
      </c>
      <c r="G148" s="1177">
        <f t="shared" si="19"/>
        <v>0</v>
      </c>
      <c r="H148" s="1177">
        <f t="shared" si="13"/>
        <v>0</v>
      </c>
      <c r="I148" s="1158">
        <v>0</v>
      </c>
      <c r="J148" s="1158">
        <v>0</v>
      </c>
      <c r="K148" s="1177"/>
      <c r="L148" s="1177"/>
      <c r="M148" s="1177">
        <f t="shared" si="14"/>
        <v>0</v>
      </c>
      <c r="N148" s="1177">
        <f t="shared" si="15"/>
        <v>0</v>
      </c>
    </row>
    <row r="149" spans="1:14" ht="15.5" outlineLevel="1" x14ac:dyDescent="0.25">
      <c r="A149" s="1160">
        <f t="shared" ref="A149:E164" si="22">A51</f>
        <v>3</v>
      </c>
      <c r="B149" s="1169" t="str">
        <f t="shared" si="22"/>
        <v xml:space="preserve">Generator Circuit breaker Electrical OH at Ghatghar HPS. </v>
      </c>
      <c r="C149" s="1162">
        <f t="shared" si="22"/>
        <v>0</v>
      </c>
      <c r="D149" s="1156" t="str">
        <f t="shared" si="22"/>
        <v>-</v>
      </c>
      <c r="E149" s="1157">
        <f t="shared" si="22"/>
        <v>0</v>
      </c>
      <c r="F149" s="1180">
        <f t="shared" si="18"/>
        <v>0</v>
      </c>
      <c r="G149" s="1180">
        <f t="shared" si="19"/>
        <v>0</v>
      </c>
      <c r="H149" s="1180">
        <f t="shared" si="13"/>
        <v>0</v>
      </c>
      <c r="I149" s="1158">
        <v>0</v>
      </c>
      <c r="J149" s="1158">
        <v>0</v>
      </c>
      <c r="K149" s="1180"/>
      <c r="L149" s="1180"/>
      <c r="M149" s="1180">
        <f t="shared" si="14"/>
        <v>0</v>
      </c>
      <c r="N149" s="1180">
        <f t="shared" si="15"/>
        <v>0</v>
      </c>
    </row>
    <row r="150" spans="1:14" ht="15.5" outlineLevel="1" x14ac:dyDescent="0.25">
      <c r="A150" s="1160">
        <f t="shared" si="22"/>
        <v>4</v>
      </c>
      <c r="B150" s="1169" t="str">
        <f t="shared" si="22"/>
        <v xml:space="preserve">Water filter treatment plant and pipeline at Ghatghar HPS. </v>
      </c>
      <c r="C150" s="1162">
        <f t="shared" si="22"/>
        <v>0</v>
      </c>
      <c r="D150" s="1081" t="str">
        <f t="shared" si="22"/>
        <v>-</v>
      </c>
      <c r="E150" s="1163">
        <f t="shared" si="22"/>
        <v>0</v>
      </c>
      <c r="F150" s="1177">
        <f t="shared" si="18"/>
        <v>0</v>
      </c>
      <c r="G150" s="1177">
        <f t="shared" si="19"/>
        <v>0</v>
      </c>
      <c r="H150" s="1177">
        <f t="shared" si="13"/>
        <v>0</v>
      </c>
      <c r="I150" s="1158">
        <v>0</v>
      </c>
      <c r="J150" s="1158">
        <v>0</v>
      </c>
      <c r="K150" s="1177"/>
      <c r="L150" s="1177"/>
      <c r="M150" s="1177">
        <f t="shared" si="14"/>
        <v>0</v>
      </c>
      <c r="N150" s="1177">
        <f t="shared" si="15"/>
        <v>0</v>
      </c>
    </row>
    <row r="151" spans="1:14" ht="15.5" outlineLevel="1" x14ac:dyDescent="0.25">
      <c r="A151" s="1160">
        <f t="shared" si="22"/>
        <v>0</v>
      </c>
      <c r="B151" s="1150" t="str">
        <f t="shared" si="22"/>
        <v>DPR 2</v>
      </c>
      <c r="C151" s="1162">
        <f t="shared" si="22"/>
        <v>0</v>
      </c>
      <c r="D151" s="1081" t="str">
        <f t="shared" si="22"/>
        <v>-</v>
      </c>
      <c r="E151" s="1163">
        <f t="shared" si="22"/>
        <v>0</v>
      </c>
      <c r="F151" s="1177">
        <f t="shared" si="18"/>
        <v>0</v>
      </c>
      <c r="G151" s="1177">
        <f t="shared" si="19"/>
        <v>0</v>
      </c>
      <c r="H151" s="1177">
        <f t="shared" si="13"/>
        <v>0</v>
      </c>
      <c r="I151" s="1158">
        <v>0</v>
      </c>
      <c r="J151" s="1158">
        <v>0</v>
      </c>
      <c r="K151" s="1177"/>
      <c r="L151" s="1177"/>
      <c r="M151" s="1177">
        <f t="shared" ref="M151:M195" si="23">SUM(J151:L151)</f>
        <v>0</v>
      </c>
      <c r="N151" s="1177">
        <f t="shared" si="15"/>
        <v>0</v>
      </c>
    </row>
    <row r="152" spans="1:14" ht="31" outlineLevel="1" x14ac:dyDescent="0.25">
      <c r="A152" s="1011">
        <f t="shared" si="22"/>
        <v>1</v>
      </c>
      <c r="B152" s="1170" t="str">
        <f t="shared" si="22"/>
        <v xml:space="preserve">Design,supply,errection,testing &amp; commissioning of  digital governing system at Paithan HPS.                        </v>
      </c>
      <c r="C152" s="1162">
        <f t="shared" si="22"/>
        <v>0</v>
      </c>
      <c r="D152" s="1081" t="str">
        <f t="shared" si="22"/>
        <v>-</v>
      </c>
      <c r="E152" s="1163">
        <f t="shared" si="22"/>
        <v>0</v>
      </c>
      <c r="F152" s="1177">
        <f t="shared" si="18"/>
        <v>0</v>
      </c>
      <c r="G152" s="1177">
        <f t="shared" si="19"/>
        <v>0</v>
      </c>
      <c r="H152" s="1177">
        <f t="shared" si="13"/>
        <v>0</v>
      </c>
      <c r="I152" s="1158">
        <v>0</v>
      </c>
      <c r="J152" s="1158">
        <v>0</v>
      </c>
      <c r="K152" s="1177"/>
      <c r="L152" s="1177"/>
      <c r="M152" s="1177">
        <f t="shared" si="23"/>
        <v>0</v>
      </c>
      <c r="N152" s="1177">
        <f t="shared" si="15"/>
        <v>0</v>
      </c>
    </row>
    <row r="153" spans="1:14" ht="31" outlineLevel="1" x14ac:dyDescent="0.25">
      <c r="A153" s="1011">
        <f t="shared" si="22"/>
        <v>2</v>
      </c>
      <c r="B153" s="1169" t="str">
        <f t="shared" si="22"/>
        <v xml:space="preserve">Design,Supply ,testing ,erection and commissioing of DAVR system at Paithan HPS.                                                     </v>
      </c>
      <c r="C153" s="1162">
        <f t="shared" si="22"/>
        <v>0</v>
      </c>
      <c r="D153" s="1081" t="str">
        <f t="shared" si="22"/>
        <v>-</v>
      </c>
      <c r="E153" s="1163">
        <f t="shared" si="22"/>
        <v>0</v>
      </c>
      <c r="F153" s="1177">
        <f t="shared" si="18"/>
        <v>0</v>
      </c>
      <c r="G153" s="1177">
        <f t="shared" si="19"/>
        <v>0</v>
      </c>
      <c r="H153" s="1177">
        <f t="shared" si="13"/>
        <v>0</v>
      </c>
      <c r="I153" s="1158">
        <v>0</v>
      </c>
      <c r="J153" s="1158">
        <v>0</v>
      </c>
      <c r="K153" s="1177"/>
      <c r="L153" s="1177"/>
      <c r="M153" s="1177">
        <f t="shared" si="23"/>
        <v>0</v>
      </c>
      <c r="N153" s="1177">
        <f t="shared" si="15"/>
        <v>0</v>
      </c>
    </row>
    <row r="154" spans="1:14" ht="31" outlineLevel="1" x14ac:dyDescent="0.25">
      <c r="A154" s="1011">
        <f t="shared" si="22"/>
        <v>3</v>
      </c>
      <c r="B154" s="1169" t="str">
        <f t="shared" si="22"/>
        <v xml:space="preserve">Design,supply,testing ,erection and commissioing of DCS control system at Paithan HPS.                                                       </v>
      </c>
      <c r="C154" s="1162">
        <f t="shared" si="22"/>
        <v>0</v>
      </c>
      <c r="D154" s="1081" t="str">
        <f t="shared" si="22"/>
        <v>-</v>
      </c>
      <c r="E154" s="1163">
        <f t="shared" si="22"/>
        <v>0</v>
      </c>
      <c r="F154" s="1177">
        <f t="shared" si="18"/>
        <v>0</v>
      </c>
      <c r="G154" s="1177">
        <f t="shared" si="19"/>
        <v>0</v>
      </c>
      <c r="H154" s="1177">
        <f t="shared" si="13"/>
        <v>0</v>
      </c>
      <c r="I154" s="1158">
        <v>0</v>
      </c>
      <c r="J154" s="1158">
        <v>0</v>
      </c>
      <c r="K154" s="1177"/>
      <c r="L154" s="1177"/>
      <c r="M154" s="1177">
        <f t="shared" si="23"/>
        <v>0</v>
      </c>
      <c r="N154" s="1177">
        <f t="shared" si="15"/>
        <v>0</v>
      </c>
    </row>
    <row r="155" spans="1:14" ht="31" outlineLevel="1" x14ac:dyDescent="0.25">
      <c r="A155" s="1011">
        <f t="shared" si="22"/>
        <v>4</v>
      </c>
      <c r="B155" s="1169" t="str">
        <f t="shared" si="22"/>
        <v xml:space="preserve">Design,supply ,testing ,erection and commissioing of Automated Co2 fire extinguishers system  at Paithan HPS.                                         </v>
      </c>
      <c r="C155" s="1162">
        <f t="shared" si="22"/>
        <v>0</v>
      </c>
      <c r="D155" s="1081" t="str">
        <f t="shared" si="22"/>
        <v>-</v>
      </c>
      <c r="E155" s="1163">
        <f t="shared" si="22"/>
        <v>0</v>
      </c>
      <c r="F155" s="1177">
        <f t="shared" si="18"/>
        <v>0</v>
      </c>
      <c r="G155" s="1177">
        <f t="shared" si="19"/>
        <v>0</v>
      </c>
      <c r="H155" s="1177">
        <f t="shared" si="13"/>
        <v>0</v>
      </c>
      <c r="I155" s="1158">
        <v>0</v>
      </c>
      <c r="J155" s="1158">
        <v>0</v>
      </c>
      <c r="K155" s="1177"/>
      <c r="L155" s="1177"/>
      <c r="M155" s="1177">
        <f t="shared" si="23"/>
        <v>0</v>
      </c>
      <c r="N155" s="1177">
        <f t="shared" si="15"/>
        <v>0</v>
      </c>
    </row>
    <row r="156" spans="1:14" ht="31" outlineLevel="1" x14ac:dyDescent="0.25">
      <c r="A156" s="1011">
        <f t="shared" si="22"/>
        <v>5</v>
      </c>
      <c r="B156" s="1169" t="str">
        <f t="shared" si="22"/>
        <v xml:space="preserve">Design,Supply ,testing ,erection and commissioing of Numerical protection system at Yeldari HPS.                                        </v>
      </c>
      <c r="C156" s="1162">
        <f t="shared" si="22"/>
        <v>0</v>
      </c>
      <c r="D156" s="1081" t="str">
        <f t="shared" si="22"/>
        <v>-</v>
      </c>
      <c r="E156" s="1163">
        <f t="shared" si="22"/>
        <v>0</v>
      </c>
      <c r="F156" s="1177">
        <f t="shared" si="18"/>
        <v>0</v>
      </c>
      <c r="G156" s="1177">
        <f t="shared" si="19"/>
        <v>0</v>
      </c>
      <c r="H156" s="1177">
        <f t="shared" si="13"/>
        <v>0</v>
      </c>
      <c r="I156" s="1158">
        <v>0</v>
      </c>
      <c r="J156" s="1158">
        <v>0</v>
      </c>
      <c r="K156" s="1177"/>
      <c r="L156" s="1177"/>
      <c r="M156" s="1177">
        <f t="shared" si="23"/>
        <v>0</v>
      </c>
      <c r="N156" s="1177">
        <f t="shared" si="15"/>
        <v>0</v>
      </c>
    </row>
    <row r="157" spans="1:14" ht="31" outlineLevel="1" x14ac:dyDescent="0.25">
      <c r="A157" s="1011">
        <f t="shared" si="22"/>
        <v>6</v>
      </c>
      <c r="B157" s="1169" t="str">
        <f t="shared" si="22"/>
        <v xml:space="preserve">Design,Supply ,testing ,erection and commissioing of C&amp;I control &amp; measurement with SCADA at Yeldari HPS.                                                           </v>
      </c>
      <c r="C157" s="1162">
        <f t="shared" si="22"/>
        <v>0</v>
      </c>
      <c r="D157" s="1081" t="str">
        <f t="shared" si="22"/>
        <v>-</v>
      </c>
      <c r="E157" s="1163">
        <f t="shared" si="22"/>
        <v>0</v>
      </c>
      <c r="F157" s="1177">
        <f t="shared" si="18"/>
        <v>0</v>
      </c>
      <c r="G157" s="1177">
        <f t="shared" si="19"/>
        <v>0</v>
      </c>
      <c r="H157" s="1177">
        <f t="shared" si="13"/>
        <v>0</v>
      </c>
      <c r="I157" s="1158">
        <v>0</v>
      </c>
      <c r="J157" s="1158">
        <v>0</v>
      </c>
      <c r="K157" s="1177"/>
      <c r="L157" s="1177"/>
      <c r="M157" s="1177">
        <f t="shared" si="23"/>
        <v>0</v>
      </c>
      <c r="N157" s="1177">
        <f t="shared" si="15"/>
        <v>0</v>
      </c>
    </row>
    <row r="158" spans="1:14" ht="31" outlineLevel="1" x14ac:dyDescent="0.25">
      <c r="A158" s="1011">
        <f t="shared" si="22"/>
        <v>7</v>
      </c>
      <c r="B158" s="1169" t="str">
        <f t="shared" si="22"/>
        <v xml:space="preserve">Design,Supply ,testing ,erection and commissioing of DAVR system at Yeldari HPS                                                        </v>
      </c>
      <c r="C158" s="1162">
        <f t="shared" si="22"/>
        <v>0</v>
      </c>
      <c r="D158" s="1081" t="str">
        <f t="shared" si="22"/>
        <v>-</v>
      </c>
      <c r="E158" s="1163">
        <f t="shared" si="22"/>
        <v>0</v>
      </c>
      <c r="F158" s="1177">
        <f t="shared" si="18"/>
        <v>0</v>
      </c>
      <c r="G158" s="1177">
        <f t="shared" si="19"/>
        <v>0</v>
      </c>
      <c r="H158" s="1177">
        <f t="shared" si="13"/>
        <v>0</v>
      </c>
      <c r="I158" s="1158">
        <v>0</v>
      </c>
      <c r="J158" s="1158">
        <v>0</v>
      </c>
      <c r="K158" s="1177"/>
      <c r="L158" s="1177"/>
      <c r="M158" s="1177">
        <f t="shared" si="23"/>
        <v>0</v>
      </c>
      <c r="N158" s="1177">
        <f t="shared" si="15"/>
        <v>0</v>
      </c>
    </row>
    <row r="159" spans="1:14" ht="31" outlineLevel="1" x14ac:dyDescent="0.25">
      <c r="A159" s="1011">
        <f t="shared" si="22"/>
        <v>8</v>
      </c>
      <c r="B159" s="1169" t="str">
        <f t="shared" si="22"/>
        <v xml:space="preserve">Design,supply,errection,testing &amp; commissioning of  digital governing system at Yeldari HPS.                                           </v>
      </c>
      <c r="C159" s="1162">
        <f t="shared" si="22"/>
        <v>0</v>
      </c>
      <c r="D159" s="1081" t="str">
        <f t="shared" si="22"/>
        <v>-</v>
      </c>
      <c r="E159" s="1163">
        <f t="shared" si="22"/>
        <v>0</v>
      </c>
      <c r="F159" s="1177">
        <f t="shared" si="18"/>
        <v>0</v>
      </c>
      <c r="G159" s="1177">
        <f t="shared" si="19"/>
        <v>0</v>
      </c>
      <c r="H159" s="1177">
        <f t="shared" si="13"/>
        <v>0</v>
      </c>
      <c r="I159" s="1158">
        <v>0</v>
      </c>
      <c r="J159" s="1158">
        <v>0</v>
      </c>
      <c r="K159" s="1177"/>
      <c r="L159" s="1177"/>
      <c r="M159" s="1177">
        <f t="shared" si="23"/>
        <v>0</v>
      </c>
      <c r="N159" s="1177">
        <f t="shared" si="15"/>
        <v>0</v>
      </c>
    </row>
    <row r="160" spans="1:14" ht="15.5" outlineLevel="1" x14ac:dyDescent="0.25">
      <c r="A160" s="1168">
        <f t="shared" si="22"/>
        <v>0</v>
      </c>
      <c r="B160" s="1150" t="str">
        <f t="shared" si="22"/>
        <v>DPR 3 (CIVIL)</v>
      </c>
      <c r="C160" s="1162">
        <f t="shared" si="22"/>
        <v>0</v>
      </c>
      <c r="D160" s="1081" t="str">
        <f t="shared" si="22"/>
        <v>-</v>
      </c>
      <c r="E160" s="1163">
        <f t="shared" si="22"/>
        <v>0</v>
      </c>
      <c r="F160" s="1177">
        <f t="shared" si="18"/>
        <v>0</v>
      </c>
      <c r="G160" s="1177">
        <f t="shared" si="19"/>
        <v>0</v>
      </c>
      <c r="H160" s="1177">
        <f t="shared" si="13"/>
        <v>0</v>
      </c>
      <c r="I160" s="1158">
        <v>0</v>
      </c>
      <c r="J160" s="1158">
        <v>0</v>
      </c>
      <c r="K160" s="1177"/>
      <c r="L160" s="1177"/>
      <c r="M160" s="1177">
        <f t="shared" si="23"/>
        <v>0</v>
      </c>
      <c r="N160" s="1177">
        <f t="shared" si="15"/>
        <v>0</v>
      </c>
    </row>
    <row r="161" spans="1:14" ht="31" outlineLevel="1" x14ac:dyDescent="0.25">
      <c r="A161" s="1011">
        <f t="shared" si="22"/>
        <v>1</v>
      </c>
      <c r="B161" s="1169" t="str">
        <f t="shared" si="22"/>
        <v>Fortification and Rock fall protection Measures in Vaitarna Hydro Electric Power Project  Premises ,Tal- Igatpuri , Dist-Nashik.</v>
      </c>
      <c r="C161" s="1162">
        <f t="shared" si="22"/>
        <v>0</v>
      </c>
      <c r="D161" s="1081" t="str">
        <f t="shared" si="22"/>
        <v>-</v>
      </c>
      <c r="E161" s="1163">
        <f t="shared" si="22"/>
        <v>0</v>
      </c>
      <c r="F161" s="1177">
        <f t="shared" si="18"/>
        <v>0</v>
      </c>
      <c r="G161" s="1177">
        <f t="shared" si="19"/>
        <v>0</v>
      </c>
      <c r="H161" s="1177">
        <f t="shared" si="13"/>
        <v>0</v>
      </c>
      <c r="I161" s="1158">
        <v>0</v>
      </c>
      <c r="J161" s="1158">
        <v>0</v>
      </c>
      <c r="K161" s="1177"/>
      <c r="L161" s="1177"/>
      <c r="M161" s="1177">
        <f t="shared" si="23"/>
        <v>0</v>
      </c>
      <c r="N161" s="1177">
        <f t="shared" si="15"/>
        <v>0</v>
      </c>
    </row>
    <row r="162" spans="1:14" ht="31" outlineLevel="1" x14ac:dyDescent="0.25">
      <c r="A162" s="1011">
        <f t="shared" si="22"/>
        <v>2</v>
      </c>
      <c r="B162" s="1169" t="str">
        <f t="shared" si="22"/>
        <v>Work of construction of Bituminous approach road to Portal Switchyard at Vaitarna HPS.</v>
      </c>
      <c r="C162" s="1162">
        <f t="shared" si="22"/>
        <v>0</v>
      </c>
      <c r="D162" s="1081" t="str">
        <f t="shared" si="22"/>
        <v>-</v>
      </c>
      <c r="E162" s="1163">
        <f t="shared" si="22"/>
        <v>0</v>
      </c>
      <c r="F162" s="1177">
        <f t="shared" si="18"/>
        <v>0</v>
      </c>
      <c r="G162" s="1177">
        <f t="shared" si="19"/>
        <v>0</v>
      </c>
      <c r="H162" s="1177">
        <f t="shared" si="13"/>
        <v>0</v>
      </c>
      <c r="I162" s="1158">
        <v>0</v>
      </c>
      <c r="J162" s="1158">
        <v>0</v>
      </c>
      <c r="K162" s="1177"/>
      <c r="L162" s="1177"/>
      <c r="M162" s="1177">
        <f t="shared" si="23"/>
        <v>0</v>
      </c>
      <c r="N162" s="1177">
        <f t="shared" si="15"/>
        <v>0</v>
      </c>
    </row>
    <row r="163" spans="1:14" ht="31" outlineLevel="1" x14ac:dyDescent="0.25">
      <c r="A163" s="1011">
        <f t="shared" si="22"/>
        <v>3</v>
      </c>
      <c r="B163" s="1169" t="str">
        <f t="shared" si="22"/>
        <v>Work of construction of Gabion wall structure on down stream of nallah near Tunnel  at Vaitarna HPS.</v>
      </c>
      <c r="C163" s="1162">
        <f t="shared" si="22"/>
        <v>0</v>
      </c>
      <c r="D163" s="1081" t="str">
        <f t="shared" si="22"/>
        <v>-</v>
      </c>
      <c r="E163" s="1163">
        <f t="shared" si="22"/>
        <v>0</v>
      </c>
      <c r="F163" s="1177">
        <f t="shared" si="18"/>
        <v>0</v>
      </c>
      <c r="G163" s="1177">
        <f t="shared" si="19"/>
        <v>0</v>
      </c>
      <c r="H163" s="1177">
        <f t="shared" si="13"/>
        <v>0</v>
      </c>
      <c r="I163" s="1158">
        <v>0</v>
      </c>
      <c r="J163" s="1158">
        <v>0</v>
      </c>
      <c r="K163" s="1177"/>
      <c r="L163" s="1177"/>
      <c r="M163" s="1177">
        <f t="shared" si="23"/>
        <v>0</v>
      </c>
      <c r="N163" s="1177">
        <f t="shared" si="15"/>
        <v>0</v>
      </c>
    </row>
    <row r="164" spans="1:14" ht="15.5" outlineLevel="1" x14ac:dyDescent="0.25">
      <c r="A164" s="1171">
        <f t="shared" si="22"/>
        <v>0</v>
      </c>
      <c r="B164" s="1150" t="str">
        <f t="shared" si="22"/>
        <v>(ii) Yet to be submitted to MERC(F Y 2026-27)</v>
      </c>
      <c r="C164" s="1162">
        <f t="shared" si="22"/>
        <v>0</v>
      </c>
      <c r="D164" s="1081" t="str">
        <f t="shared" si="22"/>
        <v>-</v>
      </c>
      <c r="E164" s="1163">
        <f t="shared" si="22"/>
        <v>0</v>
      </c>
      <c r="F164" s="1177">
        <f t="shared" si="18"/>
        <v>0</v>
      </c>
      <c r="G164" s="1177">
        <f t="shared" si="19"/>
        <v>0</v>
      </c>
      <c r="H164" s="1177">
        <f t="shared" si="13"/>
        <v>0</v>
      </c>
      <c r="I164" s="1158">
        <v>0</v>
      </c>
      <c r="J164" s="1158">
        <v>0</v>
      </c>
      <c r="K164" s="1177"/>
      <c r="L164" s="1177"/>
      <c r="M164" s="1177">
        <f t="shared" si="23"/>
        <v>0</v>
      </c>
      <c r="N164" s="1177">
        <f t="shared" si="15"/>
        <v>0</v>
      </c>
    </row>
    <row r="165" spans="1:14" ht="15.5" outlineLevel="1" x14ac:dyDescent="0.25">
      <c r="A165" s="1168">
        <f t="shared" ref="A165:E180" si="24">A67</f>
        <v>0</v>
      </c>
      <c r="B165" s="1150" t="str">
        <f t="shared" si="24"/>
        <v>DPR 4</v>
      </c>
      <c r="C165" s="1162">
        <f t="shared" si="24"/>
        <v>0</v>
      </c>
      <c r="D165" s="1081" t="str">
        <f t="shared" si="24"/>
        <v>-</v>
      </c>
      <c r="E165" s="1163">
        <f t="shared" si="24"/>
        <v>0</v>
      </c>
      <c r="F165" s="1177">
        <f t="shared" si="18"/>
        <v>0</v>
      </c>
      <c r="G165" s="1177">
        <f t="shared" si="19"/>
        <v>0</v>
      </c>
      <c r="H165" s="1177">
        <f t="shared" si="13"/>
        <v>0</v>
      </c>
      <c r="I165" s="1158">
        <v>0</v>
      </c>
      <c r="J165" s="1158">
        <v>0</v>
      </c>
      <c r="K165" s="1177"/>
      <c r="L165" s="1177"/>
      <c r="M165" s="1177">
        <f t="shared" si="23"/>
        <v>0</v>
      </c>
      <c r="N165" s="1177">
        <f t="shared" si="15"/>
        <v>0</v>
      </c>
    </row>
    <row r="166" spans="1:14" ht="62" outlineLevel="1" x14ac:dyDescent="0.25">
      <c r="A166" s="1011">
        <f t="shared" si="24"/>
        <v>1</v>
      </c>
      <c r="B166" s="1169" t="str">
        <f t="shared" si="24"/>
        <v xml:space="preserve">Comprehensive work of redesign,manufacture, supply erection, testing &amp; commissioning of Digital Governing, Protection  and control system Consisting of SCADA on single point responsibility at 60 MW Vaitarna HPS.                                                                 </v>
      </c>
      <c r="C166" s="1162">
        <f t="shared" si="24"/>
        <v>0</v>
      </c>
      <c r="D166" s="1081" t="str">
        <f t="shared" si="24"/>
        <v>-</v>
      </c>
      <c r="E166" s="1163">
        <f t="shared" si="24"/>
        <v>0</v>
      </c>
      <c r="F166" s="1177">
        <f t="shared" si="18"/>
        <v>0</v>
      </c>
      <c r="G166" s="1177">
        <f t="shared" si="19"/>
        <v>0</v>
      </c>
      <c r="H166" s="1177">
        <f t="shared" si="13"/>
        <v>0</v>
      </c>
      <c r="I166" s="1158">
        <v>0</v>
      </c>
      <c r="J166" s="1158">
        <v>0</v>
      </c>
      <c r="K166" s="1177"/>
      <c r="L166" s="1177"/>
      <c r="M166" s="1177">
        <f t="shared" si="23"/>
        <v>0</v>
      </c>
      <c r="N166" s="1177">
        <f t="shared" si="15"/>
        <v>0</v>
      </c>
    </row>
    <row r="167" spans="1:14" ht="46.5" outlineLevel="1" x14ac:dyDescent="0.25">
      <c r="A167" s="1011">
        <f t="shared" si="24"/>
        <v>2</v>
      </c>
      <c r="B167" s="1169" t="str">
        <f t="shared" si="24"/>
        <v xml:space="preserve">Comprehensive work of Replacement, Modification,upgradation of cooling water system along with replacement of pipeline,pumps,panel etc at 60 MW Vaitarna HPS.                                           </v>
      </c>
      <c r="C167" s="1162">
        <f t="shared" si="24"/>
        <v>0</v>
      </c>
      <c r="D167" s="1081" t="str">
        <f t="shared" si="24"/>
        <v>-</v>
      </c>
      <c r="E167" s="1163">
        <f t="shared" si="24"/>
        <v>0</v>
      </c>
      <c r="F167" s="1177">
        <f t="shared" si="18"/>
        <v>0</v>
      </c>
      <c r="G167" s="1177">
        <f t="shared" si="19"/>
        <v>0</v>
      </c>
      <c r="H167" s="1177">
        <f t="shared" si="13"/>
        <v>0</v>
      </c>
      <c r="I167" s="1158">
        <v>0</v>
      </c>
      <c r="J167" s="1158">
        <v>0</v>
      </c>
      <c r="K167" s="1177"/>
      <c r="L167" s="1177"/>
      <c r="M167" s="1177">
        <f t="shared" si="23"/>
        <v>0</v>
      </c>
      <c r="N167" s="1177">
        <f t="shared" si="15"/>
        <v>0</v>
      </c>
    </row>
    <row r="168" spans="1:14" ht="31" outlineLevel="1" x14ac:dyDescent="0.25">
      <c r="A168" s="1011">
        <f t="shared" si="24"/>
        <v>3</v>
      </c>
      <c r="B168" s="1169" t="str">
        <f t="shared" si="24"/>
        <v xml:space="preserve"> Design, Manufacture, Supply, Erection, Testing and commissioning of 1000 KVA UAT &amp; EAT at 60MW Vaitarna HPS.                                                                  </v>
      </c>
      <c r="C168" s="1162">
        <f t="shared" si="24"/>
        <v>0</v>
      </c>
      <c r="D168" s="1081" t="str">
        <f t="shared" si="24"/>
        <v>-</v>
      </c>
      <c r="E168" s="1163">
        <f t="shared" si="24"/>
        <v>0</v>
      </c>
      <c r="F168" s="1177">
        <f t="shared" si="18"/>
        <v>0</v>
      </c>
      <c r="G168" s="1177">
        <f t="shared" si="19"/>
        <v>0</v>
      </c>
      <c r="H168" s="1177">
        <f t="shared" si="13"/>
        <v>0</v>
      </c>
      <c r="I168" s="1158">
        <v>0</v>
      </c>
      <c r="J168" s="1158">
        <v>0</v>
      </c>
      <c r="K168" s="1177"/>
      <c r="L168" s="1177"/>
      <c r="M168" s="1177">
        <f t="shared" si="23"/>
        <v>0</v>
      </c>
      <c r="N168" s="1177">
        <f t="shared" si="15"/>
        <v>0</v>
      </c>
    </row>
    <row r="169" spans="1:14" ht="31" outlineLevel="1" x14ac:dyDescent="0.25">
      <c r="A169" s="1011">
        <f t="shared" si="24"/>
        <v>4</v>
      </c>
      <c r="B169" s="1169" t="str">
        <f t="shared" si="24"/>
        <v xml:space="preserve">Supply, Erection, Testing &amp; Commissioning of 500 KVA DG set along with cable and changeover system at 60 MW Vaitarna HPS                                          </v>
      </c>
      <c r="C169" s="1162">
        <f t="shared" si="24"/>
        <v>0</v>
      </c>
      <c r="D169" s="1081" t="str">
        <f t="shared" si="24"/>
        <v>-</v>
      </c>
      <c r="E169" s="1163">
        <f t="shared" si="24"/>
        <v>0</v>
      </c>
      <c r="F169" s="1177">
        <f t="shared" si="18"/>
        <v>0</v>
      </c>
      <c r="G169" s="1177">
        <f t="shared" si="19"/>
        <v>0</v>
      </c>
      <c r="H169" s="1177">
        <f t="shared" si="13"/>
        <v>0</v>
      </c>
      <c r="I169" s="1158">
        <v>0</v>
      </c>
      <c r="J169" s="1158">
        <v>0</v>
      </c>
      <c r="K169" s="1177"/>
      <c r="L169" s="1177"/>
      <c r="M169" s="1177">
        <f t="shared" si="23"/>
        <v>0</v>
      </c>
      <c r="N169" s="1177">
        <f t="shared" si="15"/>
        <v>0</v>
      </c>
    </row>
    <row r="170" spans="1:14" ht="77.5" outlineLevel="1" x14ac:dyDescent="0.25">
      <c r="A170" s="1011">
        <f t="shared" si="24"/>
        <v>5</v>
      </c>
      <c r="B170" s="1169" t="str">
        <f t="shared" si="24"/>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170" s="1162">
        <f t="shared" si="24"/>
        <v>0</v>
      </c>
      <c r="D170" s="1081" t="str">
        <f t="shared" si="24"/>
        <v>-</v>
      </c>
      <c r="E170" s="1163">
        <f t="shared" si="24"/>
        <v>0</v>
      </c>
      <c r="F170" s="1177">
        <f t="shared" si="18"/>
        <v>0</v>
      </c>
      <c r="G170" s="1177">
        <f t="shared" si="19"/>
        <v>0</v>
      </c>
      <c r="H170" s="1177">
        <f t="shared" si="13"/>
        <v>0</v>
      </c>
      <c r="I170" s="1158">
        <v>0</v>
      </c>
      <c r="J170" s="1158">
        <v>0</v>
      </c>
      <c r="K170" s="1177"/>
      <c r="L170" s="1177"/>
      <c r="M170" s="1177">
        <f t="shared" si="23"/>
        <v>0</v>
      </c>
      <c r="N170" s="1177">
        <f t="shared" si="15"/>
        <v>0</v>
      </c>
    </row>
    <row r="171" spans="1:14" ht="15.5" outlineLevel="1" x14ac:dyDescent="0.25">
      <c r="A171" s="1011">
        <f t="shared" si="24"/>
        <v>0</v>
      </c>
      <c r="B171" s="1150" t="str">
        <f t="shared" si="24"/>
        <v>DPR 5</v>
      </c>
      <c r="C171" s="1162">
        <f t="shared" si="24"/>
        <v>0</v>
      </c>
      <c r="D171" s="1081" t="str">
        <f t="shared" si="24"/>
        <v>-</v>
      </c>
      <c r="E171" s="1163">
        <f t="shared" si="24"/>
        <v>0</v>
      </c>
      <c r="F171" s="1177">
        <f t="shared" si="18"/>
        <v>0</v>
      </c>
      <c r="G171" s="1177">
        <f t="shared" si="19"/>
        <v>0</v>
      </c>
      <c r="H171" s="1177">
        <f t="shared" si="13"/>
        <v>0</v>
      </c>
      <c r="I171" s="1158">
        <v>0</v>
      </c>
      <c r="J171" s="1158">
        <v>0</v>
      </c>
      <c r="K171" s="1177"/>
      <c r="L171" s="1177"/>
      <c r="M171" s="1177">
        <f t="shared" si="23"/>
        <v>0</v>
      </c>
      <c r="N171" s="1177">
        <f t="shared" si="15"/>
        <v>0</v>
      </c>
    </row>
    <row r="172" spans="1:14" ht="15.5" outlineLevel="1" x14ac:dyDescent="0.25">
      <c r="A172" s="1011">
        <f t="shared" si="24"/>
        <v>1</v>
      </c>
      <c r="B172" s="1169" t="str">
        <f t="shared" si="24"/>
        <v xml:space="preserve">Upgradation of Insulation class Yeldari HPS                                                       </v>
      </c>
      <c r="C172" s="1162">
        <f t="shared" si="24"/>
        <v>0</v>
      </c>
      <c r="D172" s="1081" t="str">
        <f t="shared" si="24"/>
        <v>-</v>
      </c>
      <c r="E172" s="1163">
        <f t="shared" si="24"/>
        <v>0</v>
      </c>
      <c r="F172" s="1177">
        <f t="shared" si="18"/>
        <v>0</v>
      </c>
      <c r="G172" s="1177">
        <f t="shared" si="19"/>
        <v>0</v>
      </c>
      <c r="H172" s="1177">
        <f t="shared" si="13"/>
        <v>0</v>
      </c>
      <c r="I172" s="1158">
        <v>0</v>
      </c>
      <c r="J172" s="1158">
        <v>0</v>
      </c>
      <c r="K172" s="1177"/>
      <c r="L172" s="1177"/>
      <c r="M172" s="1177">
        <f t="shared" si="23"/>
        <v>0</v>
      </c>
      <c r="N172" s="1177">
        <f t="shared" si="15"/>
        <v>0</v>
      </c>
    </row>
    <row r="173" spans="1:14" ht="77.5" outlineLevel="1" x14ac:dyDescent="0.25">
      <c r="A173" s="1011">
        <f t="shared" si="24"/>
        <v>2</v>
      </c>
      <c r="B173" s="1169" t="str">
        <f t="shared" si="24"/>
        <v xml:space="preserve">Design,Supply ,testing ,erection and commissioing of  with modification of HT power circuit from 66KV to 132 KV by providing 03 Nos GT of 6.6/132 KV capcity 10 MVA with allied compatible aux. equipments  &amp; 01 Aux X`mer  2MVA of 132/11 KV at Yeldari HPS                                                         </v>
      </c>
      <c r="C173" s="1162">
        <f t="shared" si="24"/>
        <v>0</v>
      </c>
      <c r="D173" s="1081" t="str">
        <f t="shared" si="24"/>
        <v>-</v>
      </c>
      <c r="E173" s="1163">
        <f t="shared" si="24"/>
        <v>0</v>
      </c>
      <c r="F173" s="1177">
        <f t="shared" si="18"/>
        <v>0</v>
      </c>
      <c r="G173" s="1177">
        <f t="shared" si="19"/>
        <v>0</v>
      </c>
      <c r="H173" s="1177">
        <f t="shared" si="13"/>
        <v>0</v>
      </c>
      <c r="I173" s="1158">
        <v>0</v>
      </c>
      <c r="J173" s="1158">
        <v>0</v>
      </c>
      <c r="K173" s="1177"/>
      <c r="L173" s="1177"/>
      <c r="M173" s="1177">
        <f t="shared" si="23"/>
        <v>0</v>
      </c>
      <c r="N173" s="1177">
        <f t="shared" si="15"/>
        <v>0</v>
      </c>
    </row>
    <row r="174" spans="1:14" ht="46.5" outlineLevel="1" x14ac:dyDescent="0.25">
      <c r="A174" s="1011">
        <f t="shared" si="24"/>
        <v>3</v>
      </c>
      <c r="B174" s="1169" t="str">
        <f t="shared" si="24"/>
        <v xml:space="preserve">Design,supply ,testing ,erection and commissioing of Automated Co2 fire extinguishers system including supply of Co2 cylinder banks,detectors accessories and associated work at Yeldari HPS                                          </v>
      </c>
      <c r="C174" s="1162">
        <f t="shared" si="24"/>
        <v>0</v>
      </c>
      <c r="D174" s="1081" t="str">
        <f t="shared" si="24"/>
        <v>-</v>
      </c>
      <c r="E174" s="1163">
        <f t="shared" si="24"/>
        <v>0</v>
      </c>
      <c r="F174" s="1177">
        <f t="shared" si="18"/>
        <v>0</v>
      </c>
      <c r="G174" s="1177">
        <f t="shared" si="19"/>
        <v>0</v>
      </c>
      <c r="H174" s="1177">
        <f t="shared" si="13"/>
        <v>0</v>
      </c>
      <c r="I174" s="1158">
        <v>0</v>
      </c>
      <c r="J174" s="1158">
        <v>0</v>
      </c>
      <c r="K174" s="1177"/>
      <c r="L174" s="1177"/>
      <c r="M174" s="1177">
        <f t="shared" si="23"/>
        <v>0</v>
      </c>
      <c r="N174" s="1177">
        <f t="shared" si="15"/>
        <v>0</v>
      </c>
    </row>
    <row r="175" spans="1:14" ht="46.5" outlineLevel="1" x14ac:dyDescent="0.25">
      <c r="A175" s="1011">
        <f t="shared" si="24"/>
        <v>4</v>
      </c>
      <c r="B175" s="1169" t="str">
        <f t="shared" si="24"/>
        <v xml:space="preserve"> Design,supply ,testing ,erection and commissioing of UAT capacity 250 KVA ration 6.6KV/415V with ACDB, DCDB , auto change over system                                </v>
      </c>
      <c r="C175" s="1162">
        <f t="shared" si="24"/>
        <v>0</v>
      </c>
      <c r="D175" s="1081" t="str">
        <f t="shared" si="24"/>
        <v>-</v>
      </c>
      <c r="E175" s="1163">
        <f t="shared" si="24"/>
        <v>0</v>
      </c>
      <c r="F175" s="1177">
        <f t="shared" si="18"/>
        <v>0</v>
      </c>
      <c r="G175" s="1177">
        <f t="shared" si="19"/>
        <v>0</v>
      </c>
      <c r="H175" s="1177">
        <f t="shared" si="13"/>
        <v>0</v>
      </c>
      <c r="I175" s="1158">
        <v>0</v>
      </c>
      <c r="J175" s="1158">
        <v>0</v>
      </c>
      <c r="K175" s="1177"/>
      <c r="L175" s="1177"/>
      <c r="M175" s="1177">
        <f t="shared" si="23"/>
        <v>0</v>
      </c>
      <c r="N175" s="1177">
        <f t="shared" si="15"/>
        <v>0</v>
      </c>
    </row>
    <row r="176" spans="1:14" ht="31" outlineLevel="1" x14ac:dyDescent="0.25">
      <c r="A176" s="1011">
        <f t="shared" si="24"/>
        <v>5</v>
      </c>
      <c r="B176" s="1169" t="str">
        <f t="shared" si="24"/>
        <v xml:space="preserve">Design,supply ,testing ,erection and commissioing of  Power cables for GT and control cables at Yeldari HPS                                            </v>
      </c>
      <c r="C176" s="1162">
        <f t="shared" si="24"/>
        <v>0</v>
      </c>
      <c r="D176" s="1081" t="str">
        <f t="shared" si="24"/>
        <v>-</v>
      </c>
      <c r="E176" s="1163">
        <f t="shared" si="24"/>
        <v>0</v>
      </c>
      <c r="F176" s="1177">
        <f t="shared" si="18"/>
        <v>0</v>
      </c>
      <c r="G176" s="1177">
        <f t="shared" si="19"/>
        <v>0</v>
      </c>
      <c r="H176" s="1177">
        <f t="shared" si="13"/>
        <v>0</v>
      </c>
      <c r="I176" s="1158">
        <v>0</v>
      </c>
      <c r="J176" s="1158">
        <v>0</v>
      </c>
      <c r="K176" s="1177"/>
      <c r="L176" s="1177"/>
      <c r="M176" s="1177">
        <f t="shared" si="23"/>
        <v>0</v>
      </c>
      <c r="N176" s="1177">
        <f t="shared" si="15"/>
        <v>0</v>
      </c>
    </row>
    <row r="177" spans="1:14" ht="31" outlineLevel="1" x14ac:dyDescent="0.25">
      <c r="A177" s="1011">
        <f t="shared" si="24"/>
        <v>6</v>
      </c>
      <c r="B177" s="1169" t="str">
        <f t="shared" si="24"/>
        <v xml:space="preserve">Design,supply ,testing ,erection and commissioing of  Power cables for GT and control cables at Yeldari HPS                                              </v>
      </c>
      <c r="C177" s="1162">
        <f t="shared" si="24"/>
        <v>0</v>
      </c>
      <c r="D177" s="1081" t="str">
        <f t="shared" si="24"/>
        <v>-</v>
      </c>
      <c r="E177" s="1163">
        <f t="shared" si="24"/>
        <v>0</v>
      </c>
      <c r="F177" s="1177">
        <f t="shared" si="18"/>
        <v>0</v>
      </c>
      <c r="G177" s="1177">
        <f t="shared" si="19"/>
        <v>0</v>
      </c>
      <c r="H177" s="1177">
        <f t="shared" si="13"/>
        <v>0</v>
      </c>
      <c r="I177" s="1158">
        <v>0</v>
      </c>
      <c r="J177" s="1158">
        <v>0</v>
      </c>
      <c r="K177" s="1177"/>
      <c r="L177" s="1177"/>
      <c r="M177" s="1177">
        <f t="shared" si="23"/>
        <v>0</v>
      </c>
      <c r="N177" s="1177">
        <f t="shared" si="15"/>
        <v>0</v>
      </c>
    </row>
    <row r="178" spans="1:14" ht="15.5" outlineLevel="1" x14ac:dyDescent="0.25">
      <c r="A178" s="1168">
        <f t="shared" si="24"/>
        <v>0</v>
      </c>
      <c r="B178" s="1172" t="str">
        <f t="shared" si="24"/>
        <v>DPR 6(CIVIL)</v>
      </c>
      <c r="C178" s="1162">
        <f t="shared" si="24"/>
        <v>0</v>
      </c>
      <c r="D178" s="1081" t="str">
        <f t="shared" si="24"/>
        <v>-</v>
      </c>
      <c r="E178" s="1163">
        <f t="shared" si="24"/>
        <v>0</v>
      </c>
      <c r="F178" s="1177">
        <f t="shared" si="18"/>
        <v>0</v>
      </c>
      <c r="G178" s="1177">
        <f t="shared" si="19"/>
        <v>0</v>
      </c>
      <c r="H178" s="1177">
        <f t="shared" si="13"/>
        <v>0</v>
      </c>
      <c r="I178" s="1158">
        <v>0</v>
      </c>
      <c r="J178" s="1158">
        <v>0</v>
      </c>
      <c r="K178" s="1177"/>
      <c r="L178" s="1177"/>
      <c r="M178" s="1177">
        <f t="shared" si="23"/>
        <v>0</v>
      </c>
      <c r="N178" s="1177">
        <f t="shared" si="15"/>
        <v>0</v>
      </c>
    </row>
    <row r="179" spans="1:14" ht="15.5" outlineLevel="1" x14ac:dyDescent="0.25">
      <c r="A179" s="1011">
        <f t="shared" si="24"/>
        <v>1</v>
      </c>
      <c r="B179" s="1169" t="str">
        <f t="shared" si="24"/>
        <v>Package shade roof change at Ghatghar HPS</v>
      </c>
      <c r="C179" s="1162">
        <f t="shared" si="24"/>
        <v>0</v>
      </c>
      <c r="D179" s="1081" t="str">
        <f t="shared" si="24"/>
        <v>-</v>
      </c>
      <c r="E179" s="1163">
        <f t="shared" si="24"/>
        <v>0</v>
      </c>
      <c r="F179" s="1177">
        <f t="shared" si="18"/>
        <v>0</v>
      </c>
      <c r="G179" s="1177">
        <f t="shared" si="19"/>
        <v>0</v>
      </c>
      <c r="H179" s="1177">
        <f t="shared" si="13"/>
        <v>0</v>
      </c>
      <c r="I179" s="1158">
        <v>0</v>
      </c>
      <c r="J179" s="1158">
        <v>0</v>
      </c>
      <c r="K179" s="1177"/>
      <c r="L179" s="1177"/>
      <c r="M179" s="1177">
        <f t="shared" si="23"/>
        <v>0</v>
      </c>
      <c r="N179" s="1177">
        <f t="shared" si="15"/>
        <v>0</v>
      </c>
    </row>
    <row r="180" spans="1:14" ht="15.5" outlineLevel="1" x14ac:dyDescent="0.25">
      <c r="A180" s="1011">
        <f t="shared" si="24"/>
        <v>2</v>
      </c>
      <c r="B180" s="1169" t="str">
        <f t="shared" si="24"/>
        <v>PROCUREMENT OF MOBILE RACKS FOR STORES atGhatghar HPS</v>
      </c>
      <c r="C180" s="1162">
        <f t="shared" si="24"/>
        <v>0</v>
      </c>
      <c r="D180" s="1081" t="str">
        <f t="shared" si="24"/>
        <v>-</v>
      </c>
      <c r="E180" s="1163">
        <f t="shared" si="24"/>
        <v>0</v>
      </c>
      <c r="F180" s="1177">
        <f t="shared" si="18"/>
        <v>0</v>
      </c>
      <c r="G180" s="1177">
        <f t="shared" si="19"/>
        <v>0</v>
      </c>
      <c r="H180" s="1177">
        <f t="shared" si="13"/>
        <v>0</v>
      </c>
      <c r="I180" s="1158">
        <v>0</v>
      </c>
      <c r="J180" s="1158">
        <v>0</v>
      </c>
      <c r="K180" s="1177"/>
      <c r="L180" s="1177"/>
      <c r="M180" s="1177">
        <f t="shared" si="23"/>
        <v>0</v>
      </c>
      <c r="N180" s="1177">
        <f t="shared" si="15"/>
        <v>0</v>
      </c>
    </row>
    <row r="181" spans="1:14" ht="31" outlineLevel="1" x14ac:dyDescent="0.25">
      <c r="A181" s="1011">
        <f t="shared" ref="A181:E196" si="25">A83</f>
        <v>3</v>
      </c>
      <c r="B181" s="1169" t="str">
        <f t="shared" si="25"/>
        <v>Wall compound Rising of height and Wire fence on wall at package shade  at Ghatghar HPS</v>
      </c>
      <c r="C181" s="1162">
        <f t="shared" si="25"/>
        <v>0</v>
      </c>
      <c r="D181" s="1081" t="str">
        <f t="shared" si="25"/>
        <v>-</v>
      </c>
      <c r="E181" s="1163">
        <f t="shared" si="25"/>
        <v>0</v>
      </c>
      <c r="F181" s="1177">
        <f t="shared" ref="F181:F195" si="26">F83+I83</f>
        <v>0</v>
      </c>
      <c r="G181" s="1177">
        <f t="shared" ref="G181:G195" si="27">G83+M83</f>
        <v>0</v>
      </c>
      <c r="H181" s="1177">
        <f t="shared" si="13"/>
        <v>0</v>
      </c>
      <c r="I181" s="1158">
        <v>0</v>
      </c>
      <c r="J181" s="1158">
        <v>0</v>
      </c>
      <c r="K181" s="1177"/>
      <c r="L181" s="1177"/>
      <c r="M181" s="1177">
        <f t="shared" si="23"/>
        <v>0</v>
      </c>
      <c r="N181" s="1177">
        <f t="shared" si="15"/>
        <v>0</v>
      </c>
    </row>
    <row r="182" spans="1:14" ht="15.5" outlineLevel="1" x14ac:dyDescent="0.25">
      <c r="A182" s="1011">
        <f t="shared" si="25"/>
        <v>4</v>
      </c>
      <c r="B182" s="1169" t="str">
        <f t="shared" si="25"/>
        <v>Wall compound colony UCR at Ghatghar HPS</v>
      </c>
      <c r="C182" s="1162">
        <f t="shared" si="25"/>
        <v>0</v>
      </c>
      <c r="D182" s="1081" t="str">
        <f t="shared" si="25"/>
        <v>-</v>
      </c>
      <c r="E182" s="1163">
        <f t="shared" si="25"/>
        <v>0</v>
      </c>
      <c r="F182" s="1177">
        <f t="shared" si="26"/>
        <v>0</v>
      </c>
      <c r="G182" s="1177">
        <f t="shared" si="27"/>
        <v>0</v>
      </c>
      <c r="H182" s="1177">
        <f t="shared" si="13"/>
        <v>0</v>
      </c>
      <c r="I182" s="1158">
        <v>0</v>
      </c>
      <c r="J182" s="1158">
        <v>0</v>
      </c>
      <c r="K182" s="1177"/>
      <c r="L182" s="1177"/>
      <c r="M182" s="1177">
        <f t="shared" si="23"/>
        <v>0</v>
      </c>
      <c r="N182" s="1177">
        <f t="shared" si="15"/>
        <v>0</v>
      </c>
    </row>
    <row r="183" spans="1:14" ht="15.5" outlineLevel="1" x14ac:dyDescent="0.25">
      <c r="A183" s="1011">
        <f t="shared" si="25"/>
        <v>5</v>
      </c>
      <c r="B183" s="1169" t="str">
        <f t="shared" si="25"/>
        <v>Colony and office Road asphalting at Ghatghar HPS</v>
      </c>
      <c r="C183" s="1162">
        <f t="shared" si="25"/>
        <v>0</v>
      </c>
      <c r="D183" s="1081" t="str">
        <f t="shared" si="25"/>
        <v>-</v>
      </c>
      <c r="E183" s="1163">
        <f t="shared" si="25"/>
        <v>0</v>
      </c>
      <c r="F183" s="1177">
        <f t="shared" si="26"/>
        <v>0</v>
      </c>
      <c r="G183" s="1177">
        <f t="shared" si="27"/>
        <v>0</v>
      </c>
      <c r="H183" s="1177">
        <f t="shared" si="13"/>
        <v>0</v>
      </c>
      <c r="I183" s="1158">
        <v>0</v>
      </c>
      <c r="J183" s="1158">
        <v>0</v>
      </c>
      <c r="K183" s="1177"/>
      <c r="L183" s="1177"/>
      <c r="M183" s="1177">
        <f t="shared" si="23"/>
        <v>0</v>
      </c>
      <c r="N183" s="1177">
        <f t="shared" si="15"/>
        <v>0</v>
      </c>
    </row>
    <row r="184" spans="1:14" ht="15.5" outlineLevel="1" x14ac:dyDescent="0.25">
      <c r="A184" s="1011">
        <f t="shared" si="25"/>
        <v>6</v>
      </c>
      <c r="B184" s="1169" t="str">
        <f t="shared" si="25"/>
        <v xml:space="preserve"> Road colony to power house at Ghatghar HPS</v>
      </c>
      <c r="C184" s="1162">
        <f t="shared" si="25"/>
        <v>0</v>
      </c>
      <c r="D184" s="1081" t="str">
        <f t="shared" si="25"/>
        <v>-</v>
      </c>
      <c r="E184" s="1163">
        <f t="shared" si="25"/>
        <v>0</v>
      </c>
      <c r="F184" s="1177">
        <f t="shared" si="26"/>
        <v>0</v>
      </c>
      <c r="G184" s="1177">
        <f t="shared" si="27"/>
        <v>0</v>
      </c>
      <c r="H184" s="1177">
        <f t="shared" si="13"/>
        <v>0</v>
      </c>
      <c r="I184" s="1158">
        <v>0</v>
      </c>
      <c r="J184" s="1158">
        <v>0</v>
      </c>
      <c r="K184" s="1177"/>
      <c r="L184" s="1177"/>
      <c r="M184" s="1177">
        <f t="shared" si="23"/>
        <v>0</v>
      </c>
      <c r="N184" s="1177">
        <f t="shared" si="15"/>
        <v>0</v>
      </c>
    </row>
    <row r="185" spans="1:14" ht="15.5" outlineLevel="1" x14ac:dyDescent="0.25">
      <c r="A185" s="1168">
        <f t="shared" si="25"/>
        <v>0</v>
      </c>
      <c r="B185" s="1013">
        <f t="shared" si="25"/>
        <v>0</v>
      </c>
      <c r="C185" s="1162">
        <f t="shared" si="25"/>
        <v>0</v>
      </c>
      <c r="D185" s="1081" t="str">
        <f t="shared" si="25"/>
        <v>-</v>
      </c>
      <c r="E185" s="1163">
        <f t="shared" si="25"/>
        <v>0</v>
      </c>
      <c r="F185" s="1177">
        <f t="shared" si="26"/>
        <v>0</v>
      </c>
      <c r="G185" s="1177">
        <f t="shared" si="27"/>
        <v>0</v>
      </c>
      <c r="H185" s="1177">
        <f t="shared" si="13"/>
        <v>0</v>
      </c>
      <c r="I185" s="1158">
        <v>0</v>
      </c>
      <c r="J185" s="1158">
        <v>0</v>
      </c>
      <c r="K185" s="1177"/>
      <c r="L185" s="1177"/>
      <c r="M185" s="1177">
        <f t="shared" si="23"/>
        <v>0</v>
      </c>
      <c r="N185" s="1177">
        <f t="shared" si="15"/>
        <v>0</v>
      </c>
    </row>
    <row r="186" spans="1:14" ht="15.5" outlineLevel="1" x14ac:dyDescent="0.25">
      <c r="A186" s="1168">
        <f t="shared" si="25"/>
        <v>0</v>
      </c>
      <c r="B186" s="1150" t="str">
        <f t="shared" si="25"/>
        <v>(ii) Yet to be submitted to MERC(F Y 2027-28)</v>
      </c>
      <c r="C186" s="1162">
        <f t="shared" si="25"/>
        <v>0</v>
      </c>
      <c r="D186" s="1081" t="str">
        <f t="shared" si="25"/>
        <v>-</v>
      </c>
      <c r="E186" s="1163">
        <f t="shared" si="25"/>
        <v>0</v>
      </c>
      <c r="F186" s="1177">
        <f t="shared" si="26"/>
        <v>0</v>
      </c>
      <c r="G186" s="1177">
        <f t="shared" si="27"/>
        <v>0</v>
      </c>
      <c r="H186" s="1177">
        <f t="shared" si="13"/>
        <v>0</v>
      </c>
      <c r="I186" s="1158">
        <v>0</v>
      </c>
      <c r="J186" s="1158">
        <v>0</v>
      </c>
      <c r="K186" s="1177"/>
      <c r="L186" s="1177"/>
      <c r="M186" s="1177">
        <f t="shared" si="23"/>
        <v>0</v>
      </c>
      <c r="N186" s="1177">
        <f t="shared" si="15"/>
        <v>0</v>
      </c>
    </row>
    <row r="187" spans="1:14" ht="15.5" outlineLevel="1" x14ac:dyDescent="0.25">
      <c r="A187" s="1168">
        <f t="shared" si="25"/>
        <v>0</v>
      </c>
      <c r="B187" s="1150" t="str">
        <f t="shared" si="25"/>
        <v>DPR 7</v>
      </c>
      <c r="C187" s="1162">
        <f t="shared" si="25"/>
        <v>0</v>
      </c>
      <c r="D187" s="1081" t="str">
        <f t="shared" si="25"/>
        <v>-</v>
      </c>
      <c r="E187" s="1163">
        <f t="shared" si="25"/>
        <v>0</v>
      </c>
      <c r="F187" s="1177">
        <f t="shared" si="26"/>
        <v>0</v>
      </c>
      <c r="G187" s="1177">
        <f t="shared" si="27"/>
        <v>0</v>
      </c>
      <c r="H187" s="1177">
        <f t="shared" si="13"/>
        <v>0</v>
      </c>
      <c r="I187" s="1158">
        <v>0</v>
      </c>
      <c r="J187" s="1158">
        <v>0</v>
      </c>
      <c r="K187" s="1177"/>
      <c r="L187" s="1177"/>
      <c r="M187" s="1177">
        <f t="shared" si="23"/>
        <v>0</v>
      </c>
      <c r="N187" s="1177">
        <f t="shared" si="15"/>
        <v>0</v>
      </c>
    </row>
    <row r="188" spans="1:14" ht="15.5" outlineLevel="1" x14ac:dyDescent="0.25">
      <c r="A188" s="1011">
        <f t="shared" si="25"/>
        <v>1</v>
      </c>
      <c r="B188" s="1169" t="str">
        <f t="shared" si="25"/>
        <v>UPGRADATION OF SFC &amp; DDC PANEL at Ghatghar HPS</v>
      </c>
      <c r="C188" s="1162">
        <f t="shared" si="25"/>
        <v>0</v>
      </c>
      <c r="D188" s="1081" t="str">
        <f t="shared" si="25"/>
        <v>-</v>
      </c>
      <c r="E188" s="1163">
        <f t="shared" si="25"/>
        <v>0</v>
      </c>
      <c r="F188" s="1177">
        <f t="shared" si="26"/>
        <v>0</v>
      </c>
      <c r="G188" s="1177">
        <f t="shared" si="27"/>
        <v>0</v>
      </c>
      <c r="H188" s="1177">
        <f t="shared" si="13"/>
        <v>0</v>
      </c>
      <c r="I188" s="1158">
        <v>0</v>
      </c>
      <c r="J188" s="1158">
        <v>0</v>
      </c>
      <c r="K188" s="1177"/>
      <c r="L188" s="1177"/>
      <c r="M188" s="1177">
        <f t="shared" si="23"/>
        <v>0</v>
      </c>
      <c r="N188" s="1177">
        <f t="shared" si="15"/>
        <v>0</v>
      </c>
    </row>
    <row r="189" spans="1:14" ht="15.5" outlineLevel="1" x14ac:dyDescent="0.25">
      <c r="A189" s="1011">
        <f t="shared" si="25"/>
        <v>2</v>
      </c>
      <c r="B189" s="1169" t="str">
        <f t="shared" si="25"/>
        <v>BATTERY CHARGER PROCUREMENT at Ghatghar HPS</v>
      </c>
      <c r="C189" s="1162">
        <f t="shared" si="25"/>
        <v>0</v>
      </c>
      <c r="D189" s="1081" t="str">
        <f t="shared" si="25"/>
        <v>-</v>
      </c>
      <c r="E189" s="1163">
        <f t="shared" si="25"/>
        <v>0</v>
      </c>
      <c r="F189" s="1177">
        <f t="shared" si="26"/>
        <v>0</v>
      </c>
      <c r="G189" s="1177">
        <f t="shared" si="27"/>
        <v>0</v>
      </c>
      <c r="H189" s="1177">
        <f t="shared" si="13"/>
        <v>0</v>
      </c>
      <c r="I189" s="1158">
        <v>0</v>
      </c>
      <c r="J189" s="1158">
        <v>0</v>
      </c>
      <c r="K189" s="1177"/>
      <c r="L189" s="1177"/>
      <c r="M189" s="1177">
        <f t="shared" si="23"/>
        <v>0</v>
      </c>
      <c r="N189" s="1177">
        <f t="shared" si="15"/>
        <v>0</v>
      </c>
    </row>
    <row r="190" spans="1:14" ht="15.5" outlineLevel="1" x14ac:dyDescent="0.25">
      <c r="A190" s="1011">
        <f t="shared" si="25"/>
        <v>3</v>
      </c>
      <c r="B190" s="1169" t="str">
        <f t="shared" si="25"/>
        <v xml:space="preserve"> PHASE REVERSAL SWITCH PROCUREMENT at Ghatghar HPS</v>
      </c>
      <c r="C190" s="1162">
        <f t="shared" si="25"/>
        <v>0</v>
      </c>
      <c r="D190" s="1081" t="str">
        <f t="shared" si="25"/>
        <v>-</v>
      </c>
      <c r="E190" s="1163">
        <f t="shared" si="25"/>
        <v>0</v>
      </c>
      <c r="F190" s="1177">
        <f t="shared" si="26"/>
        <v>0</v>
      </c>
      <c r="G190" s="1177">
        <f t="shared" si="27"/>
        <v>0</v>
      </c>
      <c r="H190" s="1177">
        <f t="shared" si="13"/>
        <v>0</v>
      </c>
      <c r="I190" s="1158">
        <v>0</v>
      </c>
      <c r="J190" s="1158">
        <v>0</v>
      </c>
      <c r="K190" s="1177"/>
      <c r="L190" s="1177"/>
      <c r="M190" s="1177">
        <f t="shared" si="23"/>
        <v>0</v>
      </c>
      <c r="N190" s="1177">
        <f t="shared" si="15"/>
        <v>0</v>
      </c>
    </row>
    <row r="191" spans="1:14" ht="15.5" outlineLevel="1" x14ac:dyDescent="0.25">
      <c r="A191" s="1011">
        <f t="shared" si="25"/>
        <v>4</v>
      </c>
      <c r="B191" s="1169" t="str">
        <f t="shared" si="25"/>
        <v xml:space="preserve"> PROCUREMENT OF SPARES FOR 220kV GIS at Ghatghar HPS</v>
      </c>
      <c r="C191" s="1162">
        <f t="shared" si="25"/>
        <v>0</v>
      </c>
      <c r="D191" s="1081" t="str">
        <f t="shared" si="25"/>
        <v>-</v>
      </c>
      <c r="E191" s="1163">
        <f t="shared" si="25"/>
        <v>0</v>
      </c>
      <c r="F191" s="1177">
        <f t="shared" si="26"/>
        <v>0</v>
      </c>
      <c r="G191" s="1177">
        <f t="shared" si="27"/>
        <v>0</v>
      </c>
      <c r="H191" s="1177">
        <f t="shared" si="13"/>
        <v>0</v>
      </c>
      <c r="I191" s="1158">
        <v>0</v>
      </c>
      <c r="J191" s="1158">
        <v>0</v>
      </c>
      <c r="K191" s="1177"/>
      <c r="L191" s="1177"/>
      <c r="M191" s="1177">
        <f t="shared" si="23"/>
        <v>0</v>
      </c>
      <c r="N191" s="1177">
        <f t="shared" si="15"/>
        <v>0</v>
      </c>
    </row>
    <row r="192" spans="1:14" ht="15.5" outlineLevel="1" x14ac:dyDescent="0.25">
      <c r="A192" s="1011">
        <f t="shared" si="25"/>
        <v>5</v>
      </c>
      <c r="B192" s="1169" t="str">
        <f t="shared" si="25"/>
        <v xml:space="preserve"> PROCUREMENT OF RBDV at Ghatghar HPS</v>
      </c>
      <c r="C192" s="1162">
        <f t="shared" si="25"/>
        <v>0</v>
      </c>
      <c r="D192" s="1081" t="str">
        <f t="shared" si="25"/>
        <v>-</v>
      </c>
      <c r="E192" s="1163">
        <f t="shared" si="25"/>
        <v>0</v>
      </c>
      <c r="F192" s="1177">
        <f t="shared" si="26"/>
        <v>0</v>
      </c>
      <c r="G192" s="1177">
        <f t="shared" si="27"/>
        <v>0</v>
      </c>
      <c r="H192" s="1177">
        <f t="shared" si="13"/>
        <v>0</v>
      </c>
      <c r="I192" s="1158">
        <v>0</v>
      </c>
      <c r="J192" s="1158">
        <v>0</v>
      </c>
      <c r="K192" s="1177"/>
      <c r="L192" s="1177"/>
      <c r="M192" s="1177">
        <f t="shared" si="23"/>
        <v>0</v>
      </c>
      <c r="N192" s="1177">
        <f t="shared" si="15"/>
        <v>0</v>
      </c>
    </row>
    <row r="193" spans="1:16" ht="15.5" outlineLevel="1" x14ac:dyDescent="0.25">
      <c r="A193" s="1044">
        <f t="shared" si="25"/>
        <v>0</v>
      </c>
      <c r="B193" s="1040">
        <f t="shared" si="25"/>
        <v>0</v>
      </c>
      <c r="C193" s="1162">
        <f t="shared" si="25"/>
        <v>0</v>
      </c>
      <c r="D193" s="1081" t="str">
        <f t="shared" si="25"/>
        <v>-</v>
      </c>
      <c r="E193" s="1163">
        <f t="shared" si="25"/>
        <v>0</v>
      </c>
      <c r="F193" s="1177">
        <f t="shared" si="26"/>
        <v>0</v>
      </c>
      <c r="G193" s="1177">
        <f t="shared" si="27"/>
        <v>0</v>
      </c>
      <c r="H193" s="1177">
        <f t="shared" si="13"/>
        <v>0</v>
      </c>
      <c r="I193" s="1158">
        <v>0</v>
      </c>
      <c r="J193" s="1158">
        <v>0</v>
      </c>
      <c r="K193" s="1177"/>
      <c r="L193" s="1177"/>
      <c r="M193" s="1177">
        <f t="shared" si="23"/>
        <v>0</v>
      </c>
      <c r="N193" s="1177">
        <f t="shared" si="15"/>
        <v>0</v>
      </c>
    </row>
    <row r="194" spans="1:16" ht="15.5" outlineLevel="1" x14ac:dyDescent="0.25">
      <c r="A194" s="1168">
        <f t="shared" si="25"/>
        <v>0</v>
      </c>
      <c r="B194" s="1172" t="str">
        <f t="shared" si="25"/>
        <v>DPR 8</v>
      </c>
      <c r="C194" s="1162">
        <f t="shared" si="25"/>
        <v>0</v>
      </c>
      <c r="D194" s="1081" t="str">
        <f t="shared" si="25"/>
        <v>-</v>
      </c>
      <c r="E194" s="1163">
        <f t="shared" si="25"/>
        <v>0</v>
      </c>
      <c r="F194" s="1177">
        <f t="shared" si="26"/>
        <v>0</v>
      </c>
      <c r="G194" s="1177">
        <f t="shared" si="27"/>
        <v>0</v>
      </c>
      <c r="H194" s="1177">
        <f t="shared" si="13"/>
        <v>0</v>
      </c>
      <c r="I194" s="1158">
        <v>0</v>
      </c>
      <c r="J194" s="1158">
        <v>0</v>
      </c>
      <c r="K194" s="1177"/>
      <c r="L194" s="1177"/>
      <c r="M194" s="1177">
        <f t="shared" si="23"/>
        <v>0</v>
      </c>
      <c r="N194" s="1177">
        <f t="shared" si="15"/>
        <v>0</v>
      </c>
    </row>
    <row r="195" spans="1:16" ht="46.5" outlineLevel="1" x14ac:dyDescent="0.25">
      <c r="A195" s="1011">
        <f t="shared" si="25"/>
        <v>1</v>
      </c>
      <c r="B195" s="1169" t="str">
        <f t="shared" si="25"/>
        <v xml:space="preserve">Comprehensive work of Renovation, Modification, Design, Manufacture, Supply, Erection, Testing &amp; Commissioning of new Generator  on single point responsibility at 60 MW Vaitarna HPS.                          </v>
      </c>
      <c r="C195" s="1162">
        <f t="shared" si="25"/>
        <v>0</v>
      </c>
      <c r="D195" s="1081" t="str">
        <f t="shared" si="25"/>
        <v>-</v>
      </c>
      <c r="E195" s="1163">
        <f t="shared" si="25"/>
        <v>0</v>
      </c>
      <c r="F195" s="1177">
        <f t="shared" si="26"/>
        <v>0</v>
      </c>
      <c r="G195" s="1177">
        <f t="shared" si="27"/>
        <v>0</v>
      </c>
      <c r="H195" s="1177">
        <f t="shared" si="13"/>
        <v>0</v>
      </c>
      <c r="I195" s="1158">
        <v>0</v>
      </c>
      <c r="J195" s="1158">
        <v>0</v>
      </c>
      <c r="K195" s="1177"/>
      <c r="L195" s="1177"/>
      <c r="M195" s="1177">
        <f t="shared" si="23"/>
        <v>0</v>
      </c>
      <c r="N195" s="1177">
        <f t="shared" si="15"/>
        <v>0</v>
      </c>
    </row>
    <row r="196" spans="1:16" ht="15.5" outlineLevel="1" x14ac:dyDescent="0.25">
      <c r="A196" s="1011">
        <f t="shared" si="25"/>
        <v>0</v>
      </c>
      <c r="B196" s="1012" t="str">
        <f t="shared" si="25"/>
        <v>B) Non-DPR Schemes</v>
      </c>
      <c r="C196" s="1162">
        <f t="shared" si="25"/>
        <v>0</v>
      </c>
      <c r="D196" s="1081" t="str">
        <f t="shared" si="25"/>
        <v>-</v>
      </c>
      <c r="E196" s="1163">
        <f t="shared" si="25"/>
        <v>0</v>
      </c>
      <c r="F196" s="1177">
        <f>F98+I98</f>
        <v>0</v>
      </c>
      <c r="G196" s="1177">
        <f>G98+M98</f>
        <v>0</v>
      </c>
      <c r="H196" s="1177">
        <f t="shared" si="13"/>
        <v>0</v>
      </c>
      <c r="I196" s="1158">
        <v>0</v>
      </c>
      <c r="J196" s="1158">
        <v>0</v>
      </c>
      <c r="K196" s="1177"/>
      <c r="L196" s="1177"/>
      <c r="M196" s="1177">
        <f t="shared" si="14"/>
        <v>0</v>
      </c>
      <c r="N196" s="1177">
        <f t="shared" si="15"/>
        <v>0</v>
      </c>
    </row>
    <row r="197" spans="1:16" ht="15.5" outlineLevel="1" x14ac:dyDescent="0.25">
      <c r="A197" s="1160">
        <f t="shared" ref="A197:E200" si="28">A99</f>
        <v>1</v>
      </c>
      <c r="B197" s="1035" t="str">
        <f t="shared" si="28"/>
        <v>Office Equipment</v>
      </c>
      <c r="C197" s="1162">
        <f t="shared" si="28"/>
        <v>0</v>
      </c>
      <c r="D197" s="1081" t="str">
        <f t="shared" si="28"/>
        <v>-</v>
      </c>
      <c r="E197" s="1163">
        <f t="shared" si="28"/>
        <v>0</v>
      </c>
      <c r="F197" s="1177">
        <f>F99+I99</f>
        <v>0.56044345600000001</v>
      </c>
      <c r="G197" s="1177">
        <f>G99+M99</f>
        <v>0.57044345600000002</v>
      </c>
      <c r="H197" s="1177">
        <f t="shared" si="13"/>
        <v>-1.0000000000000009E-2</v>
      </c>
      <c r="I197" s="1158">
        <v>0.10329479899999999</v>
      </c>
      <c r="J197" s="1158">
        <v>0.13</v>
      </c>
      <c r="K197" s="1177"/>
      <c r="L197" s="1177"/>
      <c r="M197" s="1177">
        <f t="shared" si="14"/>
        <v>0.13</v>
      </c>
      <c r="N197" s="1177">
        <f t="shared" si="15"/>
        <v>-3.6705201000000021E-2</v>
      </c>
    </row>
    <row r="198" spans="1:16" ht="15.5" outlineLevel="1" x14ac:dyDescent="0.25">
      <c r="A198" s="1160">
        <f t="shared" si="28"/>
        <v>2</v>
      </c>
      <c r="B198" s="1034" t="str">
        <f t="shared" si="28"/>
        <v>Furniture &amp; Fixtures</v>
      </c>
      <c r="C198" s="1162">
        <f t="shared" si="28"/>
        <v>0</v>
      </c>
      <c r="D198" s="1081" t="str">
        <f t="shared" si="28"/>
        <v>-</v>
      </c>
      <c r="E198" s="1163">
        <f t="shared" si="28"/>
        <v>0</v>
      </c>
      <c r="F198" s="1177">
        <f>F100+I100</f>
        <v>5.7560400000000005E-3</v>
      </c>
      <c r="G198" s="1177">
        <f>G100+M100</f>
        <v>5.7560400000000005E-3</v>
      </c>
      <c r="H198" s="1177">
        <f t="shared" si="13"/>
        <v>0</v>
      </c>
      <c r="I198" s="1158">
        <v>2.9992059999999997E-2</v>
      </c>
      <c r="J198" s="1158">
        <v>2.9992059999999997E-2</v>
      </c>
      <c r="K198" s="1177"/>
      <c r="L198" s="1177"/>
      <c r="M198" s="1177">
        <f t="shared" si="14"/>
        <v>2.9992059999999997E-2</v>
      </c>
      <c r="N198" s="1177">
        <f t="shared" si="15"/>
        <v>0</v>
      </c>
    </row>
    <row r="199" spans="1:16" ht="62" outlineLevel="1" x14ac:dyDescent="0.25">
      <c r="A199" s="1160">
        <f t="shared" si="28"/>
        <v>3</v>
      </c>
      <c r="B199" s="1169" t="str">
        <f t="shared" si="28"/>
        <v xml:space="preserve">Replacement of existing 300AH/220VDC &amp; 200AH/220VDC Battery Set with new Lead acid Tubular Battery Set along with Design, manufacture, supply, installation, commissioning &amp; testing at Yeldari &amp; Paithan HPS </v>
      </c>
      <c r="C199" s="1162">
        <f t="shared" si="28"/>
        <v>0</v>
      </c>
      <c r="D199" s="1081" t="str">
        <f t="shared" si="28"/>
        <v>-</v>
      </c>
      <c r="E199" s="1163">
        <f t="shared" si="28"/>
        <v>0</v>
      </c>
      <c r="F199" s="1177">
        <f>F101+I101</f>
        <v>0</v>
      </c>
      <c r="G199" s="1177">
        <f>G101+M101</f>
        <v>0</v>
      </c>
      <c r="H199" s="1177">
        <f t="shared" si="13"/>
        <v>0</v>
      </c>
      <c r="I199" s="1158">
        <v>0.22830016</v>
      </c>
      <c r="J199" s="1158">
        <v>0.22830016</v>
      </c>
      <c r="K199" s="1177"/>
      <c r="L199" s="1177"/>
      <c r="M199" s="1177">
        <f t="shared" si="14"/>
        <v>0.22830016</v>
      </c>
      <c r="N199" s="1177">
        <f t="shared" si="15"/>
        <v>0</v>
      </c>
    </row>
    <row r="200" spans="1:16" ht="16" outlineLevel="1" thickBot="1" x14ac:dyDescent="0.3">
      <c r="A200" s="1160">
        <f t="shared" si="28"/>
        <v>4</v>
      </c>
      <c r="B200" s="1169" t="str">
        <f t="shared" si="28"/>
        <v>Vehicle (Fire Tender )</v>
      </c>
      <c r="C200" s="1162">
        <f t="shared" si="28"/>
        <v>0</v>
      </c>
      <c r="D200" s="1081" t="str">
        <f t="shared" si="28"/>
        <v>-</v>
      </c>
      <c r="E200" s="1163">
        <f t="shared" si="28"/>
        <v>0</v>
      </c>
      <c r="F200" s="1177">
        <f>F102+I102</f>
        <v>4.0077621479999994</v>
      </c>
      <c r="G200" s="1177">
        <f>G102+M102</f>
        <v>4.0077621479999994</v>
      </c>
      <c r="H200" s="1177">
        <f t="shared" si="13"/>
        <v>0</v>
      </c>
      <c r="I200" s="1158">
        <v>0</v>
      </c>
      <c r="J200" s="1158">
        <v>0</v>
      </c>
      <c r="K200" s="1177"/>
      <c r="L200" s="1177"/>
      <c r="M200" s="1177">
        <f t="shared" si="14"/>
        <v>0</v>
      </c>
      <c r="N200" s="1177">
        <f t="shared" si="15"/>
        <v>0</v>
      </c>
    </row>
    <row r="201" spans="1:16" ht="15" thickBot="1" x14ac:dyDescent="0.3">
      <c r="A201" s="1080"/>
      <c r="B201" s="1079" t="str">
        <f>B103</f>
        <v>Total</v>
      </c>
      <c r="C201" s="1078"/>
      <c r="D201" s="1077"/>
      <c r="E201" s="1173"/>
      <c r="F201" s="1174">
        <f t="shared" ref="F201:N201" si="29">SUM(F108:F200)</f>
        <v>12.824979646999997</v>
      </c>
      <c r="G201" s="1174">
        <f t="shared" si="29"/>
        <v>13.324979646999999</v>
      </c>
      <c r="H201" s="1174">
        <f t="shared" si="29"/>
        <v>-0.50000000000000022</v>
      </c>
      <c r="I201" s="1174">
        <f t="shared" si="29"/>
        <v>3.4897814380000001</v>
      </c>
      <c r="J201" s="1174">
        <f t="shared" si="29"/>
        <v>3.62318052</v>
      </c>
      <c r="K201" s="1174">
        <f t="shared" si="29"/>
        <v>0</v>
      </c>
      <c r="L201" s="1174">
        <f t="shared" si="29"/>
        <v>0</v>
      </c>
      <c r="M201" s="1174">
        <f t="shared" si="29"/>
        <v>3.62318052</v>
      </c>
      <c r="N201" s="1174">
        <f t="shared" si="29"/>
        <v>-0.63339908200000017</v>
      </c>
    </row>
    <row r="202" spans="1:16" x14ac:dyDescent="0.25">
      <c r="F202" s="1175"/>
      <c r="G202" s="1175"/>
      <c r="H202" s="1175"/>
      <c r="I202" s="1175"/>
      <c r="J202" s="1175"/>
      <c r="K202" s="1175"/>
      <c r="L202" s="1175"/>
      <c r="M202" s="1175"/>
      <c r="N202" s="1175"/>
    </row>
    <row r="203" spans="1:16" x14ac:dyDescent="0.25">
      <c r="A203" s="1145"/>
      <c r="B203" s="1082" t="s">
        <v>521</v>
      </c>
      <c r="C203" s="1146"/>
      <c r="D203" s="1147"/>
      <c r="E203" s="1148"/>
      <c r="F203" s="1176"/>
      <c r="G203" s="1176"/>
      <c r="H203" s="1176"/>
      <c r="I203" s="1176"/>
      <c r="J203" s="1176"/>
      <c r="K203" s="1176"/>
      <c r="L203" s="1176"/>
      <c r="M203" s="1176"/>
      <c r="N203" s="1176"/>
    </row>
    <row r="204" spans="1:16" ht="15.5" outlineLevel="1" x14ac:dyDescent="0.25">
      <c r="A204" s="1149"/>
      <c r="B204" s="1012" t="str">
        <f t="shared" ref="B204:E211" si="30">B106</f>
        <v>a) DPR Schemes</v>
      </c>
      <c r="C204" s="1146"/>
      <c r="D204" s="1147"/>
      <c r="E204" s="1148"/>
      <c r="F204" s="1176"/>
      <c r="G204" s="1176"/>
      <c r="H204" s="1176"/>
      <c r="I204" s="1176"/>
      <c r="J204" s="1176"/>
      <c r="K204" s="1176"/>
      <c r="L204" s="1176"/>
      <c r="M204" s="1176"/>
      <c r="N204" s="1176"/>
    </row>
    <row r="205" spans="1:16" ht="15.5" outlineLevel="1" x14ac:dyDescent="0.25">
      <c r="A205" s="1149"/>
      <c r="B205" s="1150" t="str">
        <f t="shared" si="30"/>
        <v>(i) Submitted to MERC</v>
      </c>
      <c r="C205" s="1151"/>
      <c r="D205" s="1152"/>
      <c r="E205" s="1148"/>
      <c r="F205" s="1176"/>
      <c r="G205" s="1176"/>
      <c r="H205" s="1176"/>
      <c r="I205" s="1176"/>
      <c r="J205" s="1176"/>
      <c r="K205" s="1176"/>
      <c r="L205" s="1176"/>
      <c r="M205" s="1176"/>
      <c r="N205" s="1176"/>
    </row>
    <row r="206" spans="1:16" ht="31" outlineLevel="1" x14ac:dyDescent="0.25">
      <c r="A206" s="1153">
        <f t="shared" ref="A206:E213" si="31">A108</f>
        <v>2</v>
      </c>
      <c r="B206" s="1154" t="str">
        <f t="shared" si="30"/>
        <v>Various schemes of Hydro Power Stations at HPC Pune &amp; HPC Nasik</v>
      </c>
      <c r="C206" s="1155" t="str">
        <f t="shared" si="30"/>
        <v>MERC/TECH 12/CAPEX/20142015/00876</v>
      </c>
      <c r="D206" s="1156">
        <f t="shared" si="30"/>
        <v>41871</v>
      </c>
      <c r="E206" s="1157">
        <f t="shared" si="30"/>
        <v>0.73120000000000007</v>
      </c>
      <c r="F206" s="1158">
        <f t="shared" ref="F206:F213" si="32">F108+I108</f>
        <v>0</v>
      </c>
      <c r="G206" s="1158">
        <f t="shared" ref="G206:G213" si="33">G108+M108</f>
        <v>0</v>
      </c>
      <c r="H206" s="1158">
        <f>F206-G206</f>
        <v>0</v>
      </c>
      <c r="I206" s="1158">
        <v>0</v>
      </c>
      <c r="J206" s="1158">
        <v>0</v>
      </c>
      <c r="K206" s="1158"/>
      <c r="L206" s="1158"/>
      <c r="M206" s="1158">
        <f>SUM(J206:L206)</f>
        <v>0</v>
      </c>
      <c r="N206" s="1158">
        <f>H206+I206-M206</f>
        <v>0</v>
      </c>
      <c r="O206" s="1159">
        <f t="shared" ref="O206:O211" si="34">MAX(0,IF(M206=0,0,IF(G206+M206&lt;E206,M206,E206-G206)))</f>
        <v>0</v>
      </c>
      <c r="P206" s="1014">
        <f t="shared" ref="P206:P211" si="35">M206-O206</f>
        <v>0</v>
      </c>
    </row>
    <row r="207" spans="1:16" ht="46.5" outlineLevel="1" x14ac:dyDescent="0.25">
      <c r="A207" s="1160">
        <f t="shared" si="31"/>
        <v>2.6</v>
      </c>
      <c r="B207" s="1161" t="str">
        <f t="shared" si="30"/>
        <v>Supply, testing, installation and commissioning of Exide make 300 AH 220 V Lead acid stationary Plante type station battery set for Vaitarna HPS</v>
      </c>
      <c r="C207" s="1162" t="str">
        <f t="shared" si="30"/>
        <v>MERC/TECH 12/CAPEX/20142015/00876</v>
      </c>
      <c r="D207" s="1081">
        <f t="shared" si="30"/>
        <v>41871</v>
      </c>
      <c r="E207" s="1163">
        <f t="shared" si="30"/>
        <v>0.2</v>
      </c>
      <c r="F207" s="1177">
        <f t="shared" si="32"/>
        <v>0.1988615</v>
      </c>
      <c r="G207" s="1177">
        <f t="shared" si="33"/>
        <v>0.1988615</v>
      </c>
      <c r="H207" s="1177">
        <f t="shared" ref="H207:H298" si="36">F207-G207</f>
        <v>0</v>
      </c>
      <c r="I207" s="1158">
        <v>0</v>
      </c>
      <c r="J207" s="1158">
        <v>0</v>
      </c>
      <c r="K207" s="1177"/>
      <c r="L207" s="1177"/>
      <c r="M207" s="1177">
        <f t="shared" ref="M207:M298" si="37">SUM(J207:L207)</f>
        <v>0</v>
      </c>
      <c r="N207" s="1177">
        <f t="shared" ref="N207:N298" si="38">H207+I207-M207</f>
        <v>0</v>
      </c>
      <c r="O207" s="1159">
        <f t="shared" si="34"/>
        <v>0</v>
      </c>
      <c r="P207" s="1014">
        <f t="shared" si="35"/>
        <v>0</v>
      </c>
    </row>
    <row r="208" spans="1:16" ht="46.5" outlineLevel="1" x14ac:dyDescent="0.25">
      <c r="A208" s="1160">
        <f t="shared" si="31"/>
        <v>2.7</v>
      </c>
      <c r="B208" s="1161" t="str">
        <f t="shared" si="30"/>
        <v>Supply, testing, installation and commissioning of Exide make 300 AH 220 V Lead acid stationary Plante type station battery set for Bhatsa HPS</v>
      </c>
      <c r="C208" s="1162" t="str">
        <f t="shared" si="30"/>
        <v>MERC/TECH 12/CAPEX/20142015/00876</v>
      </c>
      <c r="D208" s="1081">
        <f t="shared" si="30"/>
        <v>41871</v>
      </c>
      <c r="E208" s="1163">
        <f t="shared" si="30"/>
        <v>0.2</v>
      </c>
      <c r="F208" s="1177">
        <f t="shared" si="32"/>
        <v>0.1988615</v>
      </c>
      <c r="G208" s="1177">
        <f t="shared" si="33"/>
        <v>0.1988615</v>
      </c>
      <c r="H208" s="1177">
        <f t="shared" si="36"/>
        <v>0</v>
      </c>
      <c r="I208" s="1158">
        <v>0</v>
      </c>
      <c r="J208" s="1158">
        <v>0</v>
      </c>
      <c r="K208" s="1177"/>
      <c r="L208" s="1177"/>
      <c r="M208" s="1177">
        <f t="shared" si="37"/>
        <v>0</v>
      </c>
      <c r="N208" s="1177">
        <f t="shared" si="38"/>
        <v>0</v>
      </c>
      <c r="O208" s="1159">
        <f t="shared" si="34"/>
        <v>0</v>
      </c>
      <c r="P208" s="1014">
        <f t="shared" si="35"/>
        <v>0</v>
      </c>
    </row>
    <row r="209" spans="1:16" ht="29" outlineLevel="1" x14ac:dyDescent="0.25">
      <c r="A209" s="1160">
        <f t="shared" si="31"/>
        <v>0</v>
      </c>
      <c r="B209" s="1161" t="str">
        <f t="shared" si="30"/>
        <v>IDC</v>
      </c>
      <c r="C209" s="1162" t="str">
        <f t="shared" si="30"/>
        <v>MERC/TECH 12/CAPEX/20142015/00876</v>
      </c>
      <c r="D209" s="1081">
        <f t="shared" si="30"/>
        <v>41871</v>
      </c>
      <c r="E209" s="1163">
        <f t="shared" si="30"/>
        <v>0.33119999999999999</v>
      </c>
      <c r="F209" s="1177">
        <f t="shared" si="32"/>
        <v>0</v>
      </c>
      <c r="G209" s="1177">
        <f t="shared" si="33"/>
        <v>0</v>
      </c>
      <c r="H209" s="1177">
        <f t="shared" si="36"/>
        <v>0</v>
      </c>
      <c r="I209" s="1158">
        <v>0</v>
      </c>
      <c r="J209" s="1158">
        <v>0</v>
      </c>
      <c r="K209" s="1177"/>
      <c r="L209" s="1177"/>
      <c r="M209" s="1177">
        <f t="shared" si="37"/>
        <v>0</v>
      </c>
      <c r="N209" s="1177">
        <f t="shared" si="38"/>
        <v>0</v>
      </c>
      <c r="O209" s="1159">
        <f t="shared" si="34"/>
        <v>0</v>
      </c>
      <c r="P209" s="1014">
        <f t="shared" si="35"/>
        <v>0</v>
      </c>
    </row>
    <row r="210" spans="1:16" ht="31" outlineLevel="1" x14ac:dyDescent="0.25">
      <c r="A210" s="1153">
        <f t="shared" si="31"/>
        <v>6</v>
      </c>
      <c r="B210" s="1154" t="str">
        <f t="shared" si="30"/>
        <v>Upgradation of Protection Systems at Ghatghar (2x125MW) and Bhatsa (1x15MW) HPS under HPC Nasik</v>
      </c>
      <c r="C210" s="1155" t="str">
        <f t="shared" si="30"/>
        <v>MERC/CAPEX/20172018/04220</v>
      </c>
      <c r="D210" s="1156">
        <f t="shared" si="30"/>
        <v>42997</v>
      </c>
      <c r="E210" s="1157">
        <f t="shared" si="30"/>
        <v>15.104000000000001</v>
      </c>
      <c r="F210" s="1158">
        <f t="shared" si="32"/>
        <v>0</v>
      </c>
      <c r="G210" s="1158">
        <f t="shared" si="33"/>
        <v>0</v>
      </c>
      <c r="H210" s="1158">
        <f t="shared" si="36"/>
        <v>0</v>
      </c>
      <c r="I210" s="1158">
        <v>0</v>
      </c>
      <c r="J210" s="1158">
        <v>0</v>
      </c>
      <c r="K210" s="1158"/>
      <c r="L210" s="1158"/>
      <c r="M210" s="1158">
        <f t="shared" si="37"/>
        <v>0</v>
      </c>
      <c r="N210" s="1158">
        <f t="shared" si="38"/>
        <v>0</v>
      </c>
      <c r="O210" s="1159">
        <f t="shared" si="34"/>
        <v>0</v>
      </c>
      <c r="P210" s="1014">
        <f t="shared" si="35"/>
        <v>0</v>
      </c>
    </row>
    <row r="211" spans="1:16" ht="31" outlineLevel="1" x14ac:dyDescent="0.25">
      <c r="A211" s="1160">
        <f t="shared" si="31"/>
        <v>6.1</v>
      </c>
      <c r="B211" s="1161" t="str">
        <f t="shared" si="30"/>
        <v>Up gradation of Protection System &amp;unitrol excitation system at Ghatghar Hydro Power Station.</v>
      </c>
      <c r="C211" s="1162" t="str">
        <f t="shared" si="30"/>
        <v>MERC/CAPEX/20172018/04220</v>
      </c>
      <c r="D211" s="1081">
        <f t="shared" si="30"/>
        <v>42997</v>
      </c>
      <c r="E211" s="1163">
        <f t="shared" si="30"/>
        <v>9.6780000000000008</v>
      </c>
      <c r="F211" s="1177">
        <f t="shared" si="32"/>
        <v>0</v>
      </c>
      <c r="G211" s="1177">
        <f t="shared" si="33"/>
        <v>0</v>
      </c>
      <c r="H211" s="1177">
        <f t="shared" si="36"/>
        <v>0</v>
      </c>
      <c r="I211" s="1158">
        <v>0</v>
      </c>
      <c r="J211" s="1158">
        <v>0</v>
      </c>
      <c r="K211" s="1177"/>
      <c r="L211" s="1177"/>
      <c r="M211" s="1177">
        <f t="shared" si="37"/>
        <v>0</v>
      </c>
      <c r="N211" s="1177">
        <f t="shared" si="38"/>
        <v>0</v>
      </c>
      <c r="O211" s="1159">
        <f t="shared" si="34"/>
        <v>0</v>
      </c>
      <c r="P211" s="1014">
        <f t="shared" si="35"/>
        <v>0</v>
      </c>
    </row>
    <row r="212" spans="1:16" ht="31" outlineLevel="1" x14ac:dyDescent="0.25">
      <c r="A212" s="1160">
        <f t="shared" si="31"/>
        <v>0</v>
      </c>
      <c r="B212" s="1161" t="str">
        <f t="shared" si="31"/>
        <v>Part A : upgradation of unitrol excitation system for both units at GHPS</v>
      </c>
      <c r="C212" s="1162">
        <f t="shared" si="31"/>
        <v>0</v>
      </c>
      <c r="D212" s="1081" t="str">
        <f t="shared" si="31"/>
        <v>-</v>
      </c>
      <c r="E212" s="1163">
        <f t="shared" si="31"/>
        <v>0</v>
      </c>
      <c r="F212" s="1177">
        <f t="shared" si="32"/>
        <v>0</v>
      </c>
      <c r="G212" s="1177">
        <f t="shared" si="33"/>
        <v>0</v>
      </c>
      <c r="H212" s="1177">
        <f t="shared" si="36"/>
        <v>0</v>
      </c>
      <c r="I212" s="1158">
        <v>3.4190499999999999</v>
      </c>
      <c r="J212" s="1158">
        <v>3.4190499999999999</v>
      </c>
      <c r="K212" s="1177"/>
      <c r="L212" s="1177"/>
      <c r="M212" s="1177">
        <f t="shared" si="37"/>
        <v>3.4190499999999999</v>
      </c>
      <c r="N212" s="1177">
        <f t="shared" si="38"/>
        <v>0</v>
      </c>
      <c r="O212" s="1159"/>
      <c r="P212" s="1014"/>
    </row>
    <row r="213" spans="1:16" ht="15.5" outlineLevel="1" x14ac:dyDescent="0.25">
      <c r="A213" s="1160">
        <f t="shared" si="31"/>
        <v>0</v>
      </c>
      <c r="B213" s="1161" t="str">
        <f t="shared" si="31"/>
        <v>Part B : upgradation of Protection system for both units at GHPS</v>
      </c>
      <c r="C213" s="1162">
        <f t="shared" si="31"/>
        <v>0</v>
      </c>
      <c r="D213" s="1081" t="str">
        <f t="shared" si="31"/>
        <v>-</v>
      </c>
      <c r="E213" s="1163">
        <f t="shared" si="31"/>
        <v>0</v>
      </c>
      <c r="F213" s="1177">
        <f t="shared" si="32"/>
        <v>0</v>
      </c>
      <c r="G213" s="1177">
        <f t="shared" si="33"/>
        <v>0</v>
      </c>
      <c r="H213" s="1177">
        <f t="shared" si="36"/>
        <v>0</v>
      </c>
      <c r="I213" s="1158">
        <v>2.9146000000000001</v>
      </c>
      <c r="J213" s="1158">
        <v>2.9146000000000001</v>
      </c>
      <c r="K213" s="1177"/>
      <c r="L213" s="1177"/>
      <c r="M213" s="1177">
        <f t="shared" si="37"/>
        <v>2.9146000000000001</v>
      </c>
      <c r="N213" s="1177">
        <f t="shared" si="38"/>
        <v>0</v>
      </c>
      <c r="O213" s="1159"/>
      <c r="P213" s="1014"/>
    </row>
    <row r="214" spans="1:16" ht="46.5" outlineLevel="1" x14ac:dyDescent="0.25">
      <c r="A214" s="1160">
        <f>A116</f>
        <v>6.2</v>
      </c>
      <c r="B214" s="1161" t="str">
        <f>B116</f>
        <v>Up gradation of ABB Make Protection System &amp; Automatic Voltage Regulator, Relay Based Unit &amp; Auxiliary control for Bhatsa Hydro Power Station(1 X 15MW).</v>
      </c>
      <c r="C214" s="1162" t="str">
        <f>C116</f>
        <v>MERC/CAPEX/20172018/04220</v>
      </c>
      <c r="D214" s="1081">
        <f>D116</f>
        <v>42997</v>
      </c>
      <c r="E214" s="1163">
        <f>E116</f>
        <v>5.4260000000000002</v>
      </c>
      <c r="F214" s="1177">
        <f>F116+I116</f>
        <v>0</v>
      </c>
      <c r="G214" s="1177">
        <f>G116+M116</f>
        <v>0</v>
      </c>
      <c r="H214" s="1177">
        <f t="shared" si="36"/>
        <v>0</v>
      </c>
      <c r="I214" s="1158">
        <v>0</v>
      </c>
      <c r="J214" s="1158">
        <v>0</v>
      </c>
      <c r="K214" s="1177"/>
      <c r="L214" s="1177"/>
      <c r="M214" s="1177">
        <f t="shared" si="37"/>
        <v>0</v>
      </c>
      <c r="N214" s="1177">
        <f t="shared" si="38"/>
        <v>0</v>
      </c>
      <c r="O214" s="1159">
        <f t="shared" ref="O214" si="39">MAX(0,IF(M214=0,0,IF(G214+M214&lt;E214,M214,E214-G214)))</f>
        <v>0</v>
      </c>
      <c r="P214" s="1014">
        <f t="shared" ref="P214" si="40">M214-O214</f>
        <v>0</v>
      </c>
    </row>
    <row r="215" spans="1:16" ht="46.5" outlineLevel="1" x14ac:dyDescent="0.25">
      <c r="A215" s="1160">
        <f t="shared" ref="A215:E230" si="41">A117</f>
        <v>0</v>
      </c>
      <c r="B215" s="1161" t="str">
        <f t="shared" si="41"/>
        <v xml:space="preserve"> Protection system Part A:- Restoration and up-gradation of electromechanical and static relays with numerical relays along with installation, testing, commissioning, and misc. allied works </v>
      </c>
      <c r="C215" s="1162">
        <f t="shared" si="41"/>
        <v>0</v>
      </c>
      <c r="D215" s="1081" t="str">
        <f t="shared" si="41"/>
        <v>-</v>
      </c>
      <c r="E215" s="1163">
        <f t="shared" si="41"/>
        <v>0</v>
      </c>
      <c r="F215" s="1177">
        <f t="shared" ref="F215:F278" si="42">F117+I117</f>
        <v>0</v>
      </c>
      <c r="G215" s="1177">
        <f t="shared" ref="G215:G278" si="43">G117+M117</f>
        <v>0.45666000000000001</v>
      </c>
      <c r="H215" s="1177">
        <f t="shared" si="36"/>
        <v>-0.45666000000000001</v>
      </c>
      <c r="I215" s="1158">
        <v>0</v>
      </c>
      <c r="J215" s="1158">
        <v>0</v>
      </c>
      <c r="K215" s="1177"/>
      <c r="L215" s="1177"/>
      <c r="M215" s="1177">
        <f t="shared" si="37"/>
        <v>0</v>
      </c>
      <c r="N215" s="1177">
        <f t="shared" si="38"/>
        <v>-0.45666000000000001</v>
      </c>
      <c r="O215" s="1159"/>
      <c r="P215" s="1014"/>
    </row>
    <row r="216" spans="1:16" ht="31" outlineLevel="1" x14ac:dyDescent="0.25">
      <c r="A216" s="1160">
        <f t="shared" si="41"/>
        <v>0</v>
      </c>
      <c r="B216" s="1161" t="str">
        <f t="shared" si="41"/>
        <v>Protection system Part B:- Procure of redundant &amp; spare Numerical relays for Generator and G T Protection system.</v>
      </c>
      <c r="C216" s="1162">
        <f t="shared" si="41"/>
        <v>0</v>
      </c>
      <c r="D216" s="1081" t="str">
        <f t="shared" si="41"/>
        <v>-</v>
      </c>
      <c r="E216" s="1163">
        <f t="shared" si="41"/>
        <v>0</v>
      </c>
      <c r="F216" s="1177">
        <f t="shared" si="42"/>
        <v>0</v>
      </c>
      <c r="G216" s="1177">
        <f t="shared" si="43"/>
        <v>0</v>
      </c>
      <c r="H216" s="1177">
        <f t="shared" si="36"/>
        <v>0</v>
      </c>
      <c r="I216" s="1158">
        <v>0.65</v>
      </c>
      <c r="J216" s="1158">
        <v>0.65</v>
      </c>
      <c r="K216" s="1177"/>
      <c r="L216" s="1177"/>
      <c r="M216" s="1177">
        <f t="shared" si="37"/>
        <v>0.65</v>
      </c>
      <c r="N216" s="1177">
        <f t="shared" si="38"/>
        <v>0</v>
      </c>
      <c r="O216" s="1159"/>
      <c r="P216" s="1014"/>
    </row>
    <row r="217" spans="1:16" ht="46.5" outlineLevel="1" x14ac:dyDescent="0.25">
      <c r="A217" s="1160">
        <f t="shared" si="41"/>
        <v>0</v>
      </c>
      <c r="B217" s="1161" t="str">
        <f t="shared" si="41"/>
        <v>C- Supply erection, testing and Commissioning and supervision of dismantling and erection of static excitation system and control system along with field instrumentation at Bhatsa HPS</v>
      </c>
      <c r="C217" s="1162">
        <f t="shared" si="41"/>
        <v>0</v>
      </c>
      <c r="D217" s="1081" t="str">
        <f t="shared" si="41"/>
        <v>-</v>
      </c>
      <c r="E217" s="1163">
        <f t="shared" si="41"/>
        <v>0</v>
      </c>
      <c r="F217" s="1177">
        <f t="shared" si="42"/>
        <v>0</v>
      </c>
      <c r="G217" s="1177">
        <f t="shared" si="43"/>
        <v>0</v>
      </c>
      <c r="H217" s="1177">
        <f t="shared" si="36"/>
        <v>0</v>
      </c>
      <c r="I217" s="1158">
        <v>3.8231999999999999</v>
      </c>
      <c r="J217" s="1158">
        <v>3.8231999999999999</v>
      </c>
      <c r="K217" s="1177"/>
      <c r="L217" s="1177"/>
      <c r="M217" s="1177">
        <f t="shared" si="37"/>
        <v>3.8231999999999999</v>
      </c>
      <c r="N217" s="1177">
        <f t="shared" si="38"/>
        <v>0</v>
      </c>
      <c r="O217" s="1159"/>
      <c r="P217" s="1014"/>
    </row>
    <row r="218" spans="1:16" ht="31" outlineLevel="1" x14ac:dyDescent="0.25">
      <c r="A218" s="1153">
        <f t="shared" si="41"/>
        <v>9</v>
      </c>
      <c r="B218" s="1154" t="str">
        <f t="shared" si="41"/>
        <v>Various Civil schemes for Modernisations of colonies at Various Locations under Nasik HPC</v>
      </c>
      <c r="C218" s="1155" t="str">
        <f t="shared" si="41"/>
        <v>MERC/CAPEX/20162017/04757</v>
      </c>
      <c r="D218" s="1156">
        <f t="shared" si="41"/>
        <v>43061</v>
      </c>
      <c r="E218" s="1157">
        <f t="shared" si="41"/>
        <v>14.566664273199997</v>
      </c>
      <c r="F218" s="1158">
        <f t="shared" si="42"/>
        <v>0</v>
      </c>
      <c r="G218" s="1158">
        <f t="shared" si="43"/>
        <v>0</v>
      </c>
      <c r="H218" s="1158">
        <f t="shared" si="36"/>
        <v>0</v>
      </c>
      <c r="I218" s="1158">
        <v>0</v>
      </c>
      <c r="J218" s="1158">
        <v>0</v>
      </c>
      <c r="K218" s="1158"/>
      <c r="L218" s="1158"/>
      <c r="M218" s="1158">
        <f t="shared" si="37"/>
        <v>0</v>
      </c>
      <c r="N218" s="1158">
        <f t="shared" si="38"/>
        <v>0</v>
      </c>
      <c r="O218" s="1159">
        <f t="shared" ref="O218:O237" si="44">MAX(0,IF(M218=0,0,IF(G218+M218&lt;E218,M218,E218-G218)))</f>
        <v>0</v>
      </c>
      <c r="P218" s="1014">
        <f t="shared" ref="P218:P237" si="45">M218-O218</f>
        <v>0</v>
      </c>
    </row>
    <row r="219" spans="1:16" ht="46.5" outlineLevel="1" x14ac:dyDescent="0.25">
      <c r="A219" s="1160">
        <f t="shared" si="41"/>
        <v>9.1</v>
      </c>
      <c r="B219" s="1161" t="str">
        <f t="shared" si="41"/>
        <v>Part A: Refurbishment of quarters in colony, administartive buidings club building, guest house at various HPS under Nashik HPS</v>
      </c>
      <c r="C219" s="1162" t="str">
        <f t="shared" si="41"/>
        <v>MERC/CAPEX/20162017/04757</v>
      </c>
      <c r="D219" s="1081">
        <f t="shared" si="41"/>
        <v>43061</v>
      </c>
      <c r="E219" s="1163">
        <f t="shared" si="41"/>
        <v>3.7363539351999999</v>
      </c>
      <c r="F219" s="1177">
        <f t="shared" si="42"/>
        <v>3.6419878699999999</v>
      </c>
      <c r="G219" s="1177">
        <f t="shared" si="43"/>
        <v>4.2510011510000005</v>
      </c>
      <c r="H219" s="1177">
        <f t="shared" si="36"/>
        <v>-0.60901328100000063</v>
      </c>
      <c r="I219" s="1158">
        <v>0</v>
      </c>
      <c r="J219" s="1158">
        <v>0</v>
      </c>
      <c r="K219" s="1177"/>
      <c r="L219" s="1177"/>
      <c r="M219" s="1177">
        <f t="shared" si="37"/>
        <v>0</v>
      </c>
      <c r="N219" s="1177">
        <f t="shared" si="38"/>
        <v>-0.60901328100000063</v>
      </c>
      <c r="O219" s="1159">
        <f t="shared" si="44"/>
        <v>0</v>
      </c>
      <c r="P219" s="1014">
        <f t="shared" si="45"/>
        <v>0</v>
      </c>
    </row>
    <row r="220" spans="1:16" ht="31" outlineLevel="1" x14ac:dyDescent="0.25">
      <c r="A220" s="1160">
        <f t="shared" si="41"/>
        <v>9.1999999999999993</v>
      </c>
      <c r="B220" s="1161" t="str">
        <f t="shared" si="41"/>
        <v>Part B: Providing and laying water supply lines within colony and power house area at various HPS under Nashik HPS</v>
      </c>
      <c r="C220" s="1162" t="str">
        <f t="shared" si="41"/>
        <v>MERC/CAPEX/20162017/04757</v>
      </c>
      <c r="D220" s="1081">
        <f t="shared" si="41"/>
        <v>43061</v>
      </c>
      <c r="E220" s="1163">
        <f t="shared" si="41"/>
        <v>0.50088049999999995</v>
      </c>
      <c r="F220" s="1177">
        <f t="shared" si="42"/>
        <v>0.11901328100000001</v>
      </c>
      <c r="G220" s="1177">
        <f t="shared" si="43"/>
        <v>0.11901328100000001</v>
      </c>
      <c r="H220" s="1177">
        <f t="shared" si="36"/>
        <v>0</v>
      </c>
      <c r="I220" s="1158">
        <v>0</v>
      </c>
      <c r="J220" s="1158">
        <v>0</v>
      </c>
      <c r="K220" s="1177"/>
      <c r="L220" s="1177"/>
      <c r="M220" s="1177">
        <f t="shared" si="37"/>
        <v>0</v>
      </c>
      <c r="N220" s="1177">
        <f t="shared" si="38"/>
        <v>0</v>
      </c>
      <c r="O220" s="1159">
        <f t="shared" si="44"/>
        <v>0</v>
      </c>
      <c r="P220" s="1014">
        <f t="shared" si="45"/>
        <v>0</v>
      </c>
    </row>
    <row r="221" spans="1:16" ht="31" outlineLevel="1" x14ac:dyDescent="0.25">
      <c r="A221" s="1160">
        <f t="shared" si="41"/>
        <v>9.3000000000000007</v>
      </c>
      <c r="B221" s="1161" t="str">
        <f t="shared" si="41"/>
        <v>Part C: Construction of compund wall/chainlink fencing around colony and power house area at various HPS under Nashik HPS.</v>
      </c>
      <c r="C221" s="1162" t="str">
        <f t="shared" si="41"/>
        <v>MERC/CAPEX/20162017/04757</v>
      </c>
      <c r="D221" s="1081">
        <f t="shared" si="41"/>
        <v>43061</v>
      </c>
      <c r="E221" s="1163">
        <f t="shared" si="41"/>
        <v>0.74832697199999998</v>
      </c>
      <c r="F221" s="1177">
        <f t="shared" si="42"/>
        <v>0.17</v>
      </c>
      <c r="G221" s="1177">
        <f t="shared" si="43"/>
        <v>0.17</v>
      </c>
      <c r="H221" s="1177">
        <f t="shared" si="36"/>
        <v>0</v>
      </c>
      <c r="I221" s="1158">
        <v>0</v>
      </c>
      <c r="J221" s="1158">
        <v>0</v>
      </c>
      <c r="K221" s="1177"/>
      <c r="L221" s="1177"/>
      <c r="M221" s="1177">
        <f t="shared" si="37"/>
        <v>0</v>
      </c>
      <c r="N221" s="1177">
        <f t="shared" si="38"/>
        <v>0</v>
      </c>
      <c r="O221" s="1159">
        <f t="shared" si="44"/>
        <v>0</v>
      </c>
      <c r="P221" s="1014">
        <f t="shared" si="45"/>
        <v>0</v>
      </c>
    </row>
    <row r="222" spans="1:16" ht="62" outlineLevel="1" x14ac:dyDescent="0.25">
      <c r="A222" s="1160">
        <f t="shared" si="41"/>
        <v>9.4</v>
      </c>
      <c r="B222" s="1161" t="str">
        <f t="shared" si="41"/>
        <v>Part D: Providing &amp; relaying of existing internal roads within colony area and approach roads to power house &amp; construction of storm water gutter along road at various HPS under HPC Nashik</v>
      </c>
      <c r="C222" s="1162" t="str">
        <f t="shared" si="41"/>
        <v>MERC/CAPEX/20162017/04757</v>
      </c>
      <c r="D222" s="1081">
        <f t="shared" si="41"/>
        <v>43061</v>
      </c>
      <c r="E222" s="1163">
        <f t="shared" si="41"/>
        <v>9.5811028659999984</v>
      </c>
      <c r="F222" s="1177">
        <f t="shared" si="42"/>
        <v>4.0537161709999996</v>
      </c>
      <c r="G222" s="1177">
        <f t="shared" si="43"/>
        <v>4.0537161709999996</v>
      </c>
      <c r="H222" s="1177">
        <f t="shared" si="36"/>
        <v>0</v>
      </c>
      <c r="I222" s="1158">
        <v>0</v>
      </c>
      <c r="J222" s="1158">
        <v>0</v>
      </c>
      <c r="K222" s="1177"/>
      <c r="L222" s="1177"/>
      <c r="M222" s="1177">
        <f t="shared" si="37"/>
        <v>0</v>
      </c>
      <c r="N222" s="1177">
        <f t="shared" si="38"/>
        <v>0</v>
      </c>
      <c r="O222" s="1159">
        <f t="shared" si="44"/>
        <v>0</v>
      </c>
      <c r="P222" s="1014">
        <f t="shared" si="45"/>
        <v>0</v>
      </c>
    </row>
    <row r="223" spans="1:16" ht="46.5" outlineLevel="1" x14ac:dyDescent="0.25">
      <c r="A223" s="1153">
        <f t="shared" si="41"/>
        <v>10</v>
      </c>
      <c r="B223" s="1154" t="str">
        <f t="shared" si="41"/>
        <v>Upgradation of existing PLC system to latest symphony plus SCADA &amp; DCS system of Ghatghar HPS (2x125 MW) under HPS Nasik</v>
      </c>
      <c r="C223" s="1155" t="str">
        <f t="shared" si="41"/>
        <v>MERC/CAPEX/20172018/0198</v>
      </c>
      <c r="D223" s="1156">
        <f t="shared" si="41"/>
        <v>43137</v>
      </c>
      <c r="E223" s="1157">
        <f t="shared" si="41"/>
        <v>13.345000000000001</v>
      </c>
      <c r="F223" s="1158">
        <f t="shared" si="42"/>
        <v>0</v>
      </c>
      <c r="G223" s="1158">
        <f t="shared" si="43"/>
        <v>0</v>
      </c>
      <c r="H223" s="1158">
        <f t="shared" si="36"/>
        <v>0</v>
      </c>
      <c r="I223" s="1158">
        <v>0</v>
      </c>
      <c r="J223" s="1158">
        <v>0</v>
      </c>
      <c r="K223" s="1158"/>
      <c r="L223" s="1158"/>
      <c r="M223" s="1158">
        <f t="shared" si="37"/>
        <v>0</v>
      </c>
      <c r="N223" s="1158">
        <f t="shared" si="38"/>
        <v>0</v>
      </c>
      <c r="O223" s="1159">
        <f t="shared" si="44"/>
        <v>0</v>
      </c>
      <c r="P223" s="1014">
        <f t="shared" si="45"/>
        <v>0</v>
      </c>
    </row>
    <row r="224" spans="1:16" ht="46.5" outlineLevel="1" x14ac:dyDescent="0.25">
      <c r="A224" s="1160">
        <f t="shared" si="41"/>
        <v>10.1</v>
      </c>
      <c r="B224" s="1161" t="str">
        <f t="shared" si="41"/>
        <v>Upgradation of existing PLC system to latest symphony plus SCADA &amp; DCS system of Ghatghar HPS (2x125 MW) under HPS Nasik</v>
      </c>
      <c r="C224" s="1162" t="str">
        <f t="shared" si="41"/>
        <v>MERC/CAPEX/20172018/0198</v>
      </c>
      <c r="D224" s="1081">
        <f t="shared" si="41"/>
        <v>43137</v>
      </c>
      <c r="E224" s="1163">
        <f t="shared" si="41"/>
        <v>13.345000000000001</v>
      </c>
      <c r="F224" s="1177">
        <f t="shared" si="42"/>
        <v>0</v>
      </c>
      <c r="G224" s="1177">
        <f t="shared" si="43"/>
        <v>0</v>
      </c>
      <c r="H224" s="1177">
        <f t="shared" si="36"/>
        <v>0</v>
      </c>
      <c r="I224" s="1158">
        <v>0</v>
      </c>
      <c r="J224" s="1158">
        <v>0</v>
      </c>
      <c r="K224" s="1177"/>
      <c r="L224" s="1177"/>
      <c r="M224" s="1177">
        <f t="shared" si="37"/>
        <v>0</v>
      </c>
      <c r="N224" s="1177">
        <f t="shared" si="38"/>
        <v>0</v>
      </c>
      <c r="O224" s="1159">
        <f t="shared" si="44"/>
        <v>0</v>
      </c>
      <c r="P224" s="1014">
        <f t="shared" si="45"/>
        <v>0</v>
      </c>
    </row>
    <row r="225" spans="1:16" ht="31" outlineLevel="1" x14ac:dyDescent="0.25">
      <c r="A225" s="1153">
        <f t="shared" si="41"/>
        <v>14</v>
      </c>
      <c r="B225" s="1154" t="str">
        <f t="shared" si="41"/>
        <v>Various 14 Nos. of schemes for Hydro Power Stations under Renewable Energy Circle, Pune &amp; Nasik</v>
      </c>
      <c r="C225" s="1155" t="str">
        <f t="shared" si="41"/>
        <v>MERC/CAPEX/2020-21/WFH/SBR/ 19</v>
      </c>
      <c r="D225" s="1156">
        <f t="shared" si="41"/>
        <v>44029</v>
      </c>
      <c r="E225" s="1157">
        <f t="shared" si="41"/>
        <v>8.9129999999999985</v>
      </c>
      <c r="F225" s="1158">
        <f t="shared" si="42"/>
        <v>0</v>
      </c>
      <c r="G225" s="1158">
        <f t="shared" si="43"/>
        <v>0</v>
      </c>
      <c r="H225" s="1158">
        <f t="shared" si="36"/>
        <v>0</v>
      </c>
      <c r="I225" s="1158">
        <v>0</v>
      </c>
      <c r="J225" s="1158">
        <v>0</v>
      </c>
      <c r="K225" s="1158"/>
      <c r="L225" s="1158"/>
      <c r="M225" s="1158">
        <f t="shared" si="37"/>
        <v>0</v>
      </c>
      <c r="N225" s="1158">
        <f t="shared" si="38"/>
        <v>0</v>
      </c>
      <c r="O225" s="1159">
        <f t="shared" si="44"/>
        <v>0</v>
      </c>
      <c r="P225" s="1014">
        <f t="shared" si="45"/>
        <v>0</v>
      </c>
    </row>
    <row r="226" spans="1:16" ht="31" outlineLevel="1" x14ac:dyDescent="0.25">
      <c r="A226" s="1164">
        <f t="shared" si="41"/>
        <v>14.1</v>
      </c>
      <c r="B226" s="1161" t="str">
        <f t="shared" si="41"/>
        <v>Schme-C :Replacement of existing Energy meters by 0.2S Class Energy meters at various HPS.</v>
      </c>
      <c r="C226" s="1162" t="str">
        <f t="shared" si="41"/>
        <v>MERC/CAPEX/2020-21/WFH/SBR/ 19</v>
      </c>
      <c r="D226" s="1081">
        <f t="shared" si="41"/>
        <v>44029</v>
      </c>
      <c r="E226" s="1163">
        <f t="shared" si="41"/>
        <v>0.10199999999999999</v>
      </c>
      <c r="F226" s="1177">
        <f t="shared" si="42"/>
        <v>0</v>
      </c>
      <c r="G226" s="1177">
        <f t="shared" si="43"/>
        <v>0</v>
      </c>
      <c r="H226" s="1177">
        <f t="shared" si="36"/>
        <v>0</v>
      </c>
      <c r="I226" s="1158">
        <v>0</v>
      </c>
      <c r="J226" s="1158">
        <v>0</v>
      </c>
      <c r="K226" s="1177"/>
      <c r="L226" s="1177"/>
      <c r="M226" s="1177">
        <f t="shared" si="37"/>
        <v>0</v>
      </c>
      <c r="N226" s="1177">
        <f t="shared" si="38"/>
        <v>0</v>
      </c>
      <c r="O226" s="1159">
        <f t="shared" si="44"/>
        <v>0</v>
      </c>
      <c r="P226" s="1014">
        <f t="shared" si="45"/>
        <v>0</v>
      </c>
    </row>
    <row r="227" spans="1:16" ht="31" outlineLevel="1" x14ac:dyDescent="0.25">
      <c r="A227" s="1164">
        <f t="shared" si="41"/>
        <v>14.2</v>
      </c>
      <c r="B227" s="1161" t="str">
        <f t="shared" si="41"/>
        <v>Schme-F: Replacement of 220V / 300AH Float cum boost charger with integrated DCDB for Bhatsa Hydro Power Stn.</v>
      </c>
      <c r="C227" s="1162" t="str">
        <f t="shared" si="41"/>
        <v>MERC/CAPEX/2020-21/WFH/SBR/ 19</v>
      </c>
      <c r="D227" s="1081">
        <f t="shared" si="41"/>
        <v>44029</v>
      </c>
      <c r="E227" s="1163">
        <f t="shared" si="41"/>
        <v>0.17299999999999999</v>
      </c>
      <c r="F227" s="1177">
        <f t="shared" si="42"/>
        <v>0.11446000000000001</v>
      </c>
      <c r="G227" s="1177">
        <f t="shared" si="43"/>
        <v>0.11446000000000001</v>
      </c>
      <c r="H227" s="1177">
        <f t="shared" si="36"/>
        <v>0</v>
      </c>
      <c r="I227" s="1158">
        <v>0</v>
      </c>
      <c r="J227" s="1158">
        <v>0</v>
      </c>
      <c r="K227" s="1177"/>
      <c r="L227" s="1177"/>
      <c r="M227" s="1177">
        <f t="shared" si="37"/>
        <v>0</v>
      </c>
      <c r="N227" s="1177">
        <f t="shared" si="38"/>
        <v>0</v>
      </c>
      <c r="O227" s="1159">
        <f t="shared" si="44"/>
        <v>0</v>
      </c>
      <c r="P227" s="1014">
        <f t="shared" si="45"/>
        <v>0</v>
      </c>
    </row>
    <row r="228" spans="1:16" ht="31" outlineLevel="1" x14ac:dyDescent="0.25">
      <c r="A228" s="1164">
        <f t="shared" si="41"/>
        <v>14.3</v>
      </c>
      <c r="B228" s="1161" t="str">
        <f t="shared" si="41"/>
        <v>Schme-G: Replacement of 220V / 300AH Float cum boost charger with integrated DCDB for Surya Hydro Power Stn.</v>
      </c>
      <c r="C228" s="1162" t="str">
        <f t="shared" si="41"/>
        <v>MERC/CAPEX/2020-21/WFH/SBR/ 19</v>
      </c>
      <c r="D228" s="1081">
        <f t="shared" si="41"/>
        <v>44029</v>
      </c>
      <c r="E228" s="1163">
        <f t="shared" si="41"/>
        <v>0.17299999999999999</v>
      </c>
      <c r="F228" s="1177">
        <f t="shared" si="42"/>
        <v>0.11446000000000001</v>
      </c>
      <c r="G228" s="1177">
        <f t="shared" si="43"/>
        <v>0.11446000000000001</v>
      </c>
      <c r="H228" s="1177">
        <f t="shared" si="36"/>
        <v>0</v>
      </c>
      <c r="I228" s="1158">
        <v>0</v>
      </c>
      <c r="J228" s="1158">
        <v>0</v>
      </c>
      <c r="K228" s="1177"/>
      <c r="L228" s="1177"/>
      <c r="M228" s="1177">
        <f t="shared" si="37"/>
        <v>0</v>
      </c>
      <c r="N228" s="1177">
        <f t="shared" si="38"/>
        <v>0</v>
      </c>
      <c r="O228" s="1159">
        <f t="shared" si="44"/>
        <v>0</v>
      </c>
      <c r="P228" s="1014">
        <f t="shared" si="45"/>
        <v>0</v>
      </c>
    </row>
    <row r="229" spans="1:16" ht="29" outlineLevel="1" x14ac:dyDescent="0.25">
      <c r="A229" s="1164">
        <f t="shared" si="41"/>
        <v>14.4</v>
      </c>
      <c r="B229" s="1161" t="str">
        <f t="shared" si="41"/>
        <v>Schme-H: Supply 24 point Chartless recorder for Bhatsa HPS.</v>
      </c>
      <c r="C229" s="1162" t="str">
        <f t="shared" si="41"/>
        <v>MERC/CAPEX/2020-21/WFH/SBR/ 19</v>
      </c>
      <c r="D229" s="1081">
        <f t="shared" si="41"/>
        <v>44029</v>
      </c>
      <c r="E229" s="1163">
        <f t="shared" si="41"/>
        <v>5.8999999999999997E-2</v>
      </c>
      <c r="F229" s="1177">
        <f t="shared" si="42"/>
        <v>2.02455E-2</v>
      </c>
      <c r="G229" s="1177">
        <f t="shared" si="43"/>
        <v>2.02455E-2</v>
      </c>
      <c r="H229" s="1177">
        <f t="shared" si="36"/>
        <v>0</v>
      </c>
      <c r="I229" s="1158">
        <v>0</v>
      </c>
      <c r="J229" s="1158">
        <v>0</v>
      </c>
      <c r="K229" s="1177"/>
      <c r="L229" s="1177"/>
      <c r="M229" s="1177">
        <f t="shared" si="37"/>
        <v>0</v>
      </c>
      <c r="N229" s="1177">
        <f t="shared" si="38"/>
        <v>0</v>
      </c>
      <c r="O229" s="1159">
        <f t="shared" si="44"/>
        <v>0</v>
      </c>
      <c r="P229" s="1014">
        <f t="shared" si="45"/>
        <v>0</v>
      </c>
    </row>
    <row r="230" spans="1:16" ht="31" outlineLevel="1" x14ac:dyDescent="0.25">
      <c r="A230" s="1164">
        <f t="shared" si="41"/>
        <v>14.5</v>
      </c>
      <c r="B230" s="1161" t="str">
        <f t="shared" si="41"/>
        <v>Schme-I: Supply Erection, testing &amp; commissioning of Digital governing system for 06MW Surya HPS.</v>
      </c>
      <c r="C230" s="1162" t="str">
        <f t="shared" si="41"/>
        <v>MERC/CAPEX/2020-21/WFH/SBR/ 19</v>
      </c>
      <c r="D230" s="1081">
        <f t="shared" si="41"/>
        <v>44029</v>
      </c>
      <c r="E230" s="1163">
        <f t="shared" si="41"/>
        <v>1.954</v>
      </c>
      <c r="F230" s="1177">
        <f t="shared" si="42"/>
        <v>0</v>
      </c>
      <c r="G230" s="1177">
        <f t="shared" si="43"/>
        <v>0</v>
      </c>
      <c r="H230" s="1177">
        <f t="shared" si="36"/>
        <v>0</v>
      </c>
      <c r="I230" s="1158">
        <v>1.954</v>
      </c>
      <c r="J230" s="1158">
        <v>1.954</v>
      </c>
      <c r="K230" s="1177"/>
      <c r="L230" s="1177"/>
      <c r="M230" s="1177">
        <f t="shared" si="37"/>
        <v>1.954</v>
      </c>
      <c r="N230" s="1177">
        <f t="shared" si="38"/>
        <v>0</v>
      </c>
      <c r="O230" s="1159">
        <f t="shared" si="44"/>
        <v>1.954</v>
      </c>
      <c r="P230" s="1014">
        <f t="shared" si="45"/>
        <v>0</v>
      </c>
    </row>
    <row r="231" spans="1:16" ht="46.5" outlineLevel="1" x14ac:dyDescent="0.25">
      <c r="A231" s="1164">
        <f t="shared" ref="A231:E246" si="46">A133</f>
        <v>14.6</v>
      </c>
      <c r="B231" s="1161" t="str">
        <f t="shared" si="46"/>
        <v>Schme-J: Supply, Erection, testing &amp; commissioning of Digital governing system and Hydraulic oil pressure unit for 15 MW Bhatsa HPS.</v>
      </c>
      <c r="C231" s="1162" t="str">
        <f t="shared" si="46"/>
        <v>MERC/CAPEX/2020-21/WFH/SBR/ 19</v>
      </c>
      <c r="D231" s="1081">
        <f t="shared" si="46"/>
        <v>44029</v>
      </c>
      <c r="E231" s="1163">
        <f t="shared" si="46"/>
        <v>2.0270000000000001</v>
      </c>
      <c r="F231" s="1177">
        <f t="shared" si="42"/>
        <v>2.0502972000000002</v>
      </c>
      <c r="G231" s="1177">
        <f t="shared" si="43"/>
        <v>1.5936372000000001</v>
      </c>
      <c r="H231" s="1177">
        <f t="shared" si="36"/>
        <v>0.45666000000000007</v>
      </c>
      <c r="I231" s="1158">
        <v>0</v>
      </c>
      <c r="J231" s="1158">
        <v>0</v>
      </c>
      <c r="K231" s="1177"/>
      <c r="L231" s="1177"/>
      <c r="M231" s="1177">
        <f t="shared" si="37"/>
        <v>0</v>
      </c>
      <c r="N231" s="1177">
        <f t="shared" si="38"/>
        <v>0.45666000000000007</v>
      </c>
      <c r="O231" s="1159">
        <f t="shared" si="44"/>
        <v>0</v>
      </c>
      <c r="P231" s="1014">
        <f t="shared" si="45"/>
        <v>0</v>
      </c>
    </row>
    <row r="232" spans="1:16" ht="31" outlineLevel="1" x14ac:dyDescent="0.25">
      <c r="A232" s="1164">
        <f t="shared" si="46"/>
        <v>14.7</v>
      </c>
      <c r="B232" s="1161" t="str">
        <f t="shared" si="46"/>
        <v>Schme-K: Supply, Retrofitting, up gradation, Commissioning of Generator protection system at Paithan HPS.</v>
      </c>
      <c r="C232" s="1162" t="str">
        <f t="shared" si="46"/>
        <v>MERC/CAPEX/2020-21/WFH/SBR/ 19</v>
      </c>
      <c r="D232" s="1081">
        <f t="shared" si="46"/>
        <v>44029</v>
      </c>
      <c r="E232" s="1163">
        <f t="shared" si="46"/>
        <v>0.87</v>
      </c>
      <c r="F232" s="1177">
        <f t="shared" si="42"/>
        <v>0</v>
      </c>
      <c r="G232" s="1177">
        <f t="shared" si="43"/>
        <v>0</v>
      </c>
      <c r="H232" s="1177">
        <f t="shared" si="36"/>
        <v>0</v>
      </c>
      <c r="I232" s="1158">
        <v>0.87</v>
      </c>
      <c r="J232" s="1158">
        <v>0.87</v>
      </c>
      <c r="K232" s="1177"/>
      <c r="L232" s="1177"/>
      <c r="M232" s="1177">
        <f t="shared" si="37"/>
        <v>0.87</v>
      </c>
      <c r="N232" s="1177">
        <f t="shared" si="38"/>
        <v>0</v>
      </c>
      <c r="O232" s="1159">
        <f t="shared" si="44"/>
        <v>0.87</v>
      </c>
      <c r="P232" s="1014">
        <f t="shared" si="45"/>
        <v>0</v>
      </c>
    </row>
    <row r="233" spans="1:16" ht="31" outlineLevel="1" x14ac:dyDescent="0.25">
      <c r="A233" s="1164">
        <f t="shared" si="46"/>
        <v>14.8</v>
      </c>
      <c r="B233" s="1161" t="str">
        <f t="shared" si="46"/>
        <v>Schme-L: Replacement of existing compressor with new compressor (1 Nos.) at Paithan HPS</v>
      </c>
      <c r="C233" s="1162" t="str">
        <f t="shared" si="46"/>
        <v>MERC/CAPEX/2020-21/WFH/SBR/ 19</v>
      </c>
      <c r="D233" s="1081">
        <f t="shared" si="46"/>
        <v>44029</v>
      </c>
      <c r="E233" s="1163">
        <f t="shared" si="46"/>
        <v>0.46700000000000003</v>
      </c>
      <c r="F233" s="1177">
        <f t="shared" si="42"/>
        <v>0</v>
      </c>
      <c r="G233" s="1177">
        <f t="shared" si="43"/>
        <v>0</v>
      </c>
      <c r="H233" s="1177">
        <f t="shared" si="36"/>
        <v>0</v>
      </c>
      <c r="I233" s="1158">
        <v>0.46700000000000003</v>
      </c>
      <c r="J233" s="1158">
        <v>0.46700000000000003</v>
      </c>
      <c r="K233" s="1177"/>
      <c r="L233" s="1177"/>
      <c r="M233" s="1177">
        <f t="shared" si="37"/>
        <v>0.46700000000000003</v>
      </c>
      <c r="N233" s="1177">
        <f t="shared" si="38"/>
        <v>0</v>
      </c>
      <c r="O233" s="1159">
        <f t="shared" si="44"/>
        <v>0.46700000000000003</v>
      </c>
      <c r="P233" s="1014">
        <f t="shared" si="45"/>
        <v>0</v>
      </c>
    </row>
    <row r="234" spans="1:16" ht="46.5" outlineLevel="1" x14ac:dyDescent="0.25">
      <c r="A234" s="1164">
        <f t="shared" si="46"/>
        <v>14.9</v>
      </c>
      <c r="B234" s="1161" t="str">
        <f t="shared" si="46"/>
        <v>Schme-M: Retrofitting, up gradation &amp; Commissioning of Protection System for Generator, Transformer and Line at Surya Hydro Power Station</v>
      </c>
      <c r="C234" s="1162" t="str">
        <f t="shared" si="46"/>
        <v>MERC/CAPEX/2020-21/WFH/SBR/ 19</v>
      </c>
      <c r="D234" s="1081">
        <f t="shared" si="46"/>
        <v>44029</v>
      </c>
      <c r="E234" s="1163">
        <f t="shared" si="46"/>
        <v>0.69100000000000006</v>
      </c>
      <c r="F234" s="1177">
        <f t="shared" si="42"/>
        <v>0.69730939999999997</v>
      </c>
      <c r="G234" s="1177">
        <f t="shared" si="43"/>
        <v>0.68498999999999999</v>
      </c>
      <c r="H234" s="1177">
        <f t="shared" si="36"/>
        <v>1.231939999999998E-2</v>
      </c>
      <c r="I234" s="1158">
        <v>0</v>
      </c>
      <c r="J234" s="1158">
        <v>0</v>
      </c>
      <c r="K234" s="1177"/>
      <c r="L234" s="1177"/>
      <c r="M234" s="1177">
        <f t="shared" si="37"/>
        <v>0</v>
      </c>
      <c r="N234" s="1177">
        <f t="shared" si="38"/>
        <v>1.231939999999998E-2</v>
      </c>
      <c r="O234" s="1159">
        <f t="shared" si="44"/>
        <v>0</v>
      </c>
      <c r="P234" s="1014">
        <f t="shared" si="45"/>
        <v>0</v>
      </c>
    </row>
    <row r="235" spans="1:16" ht="31" outlineLevel="1" x14ac:dyDescent="0.25">
      <c r="A235" s="1165">
        <f t="shared" si="46"/>
        <v>14.1</v>
      </c>
      <c r="B235" s="1161" t="str">
        <f t="shared" si="46"/>
        <v>Schme-N: Procurement of Static excitation system at Surya Hydro Power Station.</v>
      </c>
      <c r="C235" s="1162" t="str">
        <f t="shared" si="46"/>
        <v>MERC/CAPEX/2020-21/WFH/SBR/ 19</v>
      </c>
      <c r="D235" s="1081">
        <f t="shared" si="46"/>
        <v>44029</v>
      </c>
      <c r="E235" s="1163">
        <f t="shared" si="46"/>
        <v>1.5469999999999999</v>
      </c>
      <c r="F235" s="1177">
        <f t="shared" si="42"/>
        <v>0</v>
      </c>
      <c r="G235" s="1177">
        <f t="shared" si="43"/>
        <v>0</v>
      </c>
      <c r="H235" s="1177">
        <f t="shared" si="36"/>
        <v>0</v>
      </c>
      <c r="I235" s="1158">
        <v>1.5469999999999999</v>
      </c>
      <c r="J235" s="1158">
        <v>1.5469999999999999</v>
      </c>
      <c r="K235" s="1177"/>
      <c r="L235" s="1177"/>
      <c r="M235" s="1177">
        <f t="shared" si="37"/>
        <v>1.5469999999999999</v>
      </c>
      <c r="N235" s="1177">
        <f t="shared" si="38"/>
        <v>0</v>
      </c>
      <c r="O235" s="1159">
        <f t="shared" si="44"/>
        <v>1.5469999999999999</v>
      </c>
      <c r="P235" s="1014">
        <f t="shared" si="45"/>
        <v>0</v>
      </c>
    </row>
    <row r="236" spans="1:16" ht="29" outlineLevel="1" x14ac:dyDescent="0.25">
      <c r="A236" s="1160">
        <f t="shared" si="46"/>
        <v>0</v>
      </c>
      <c r="B236" s="1161" t="str">
        <f t="shared" si="46"/>
        <v>IDC</v>
      </c>
      <c r="C236" s="1162" t="str">
        <f t="shared" si="46"/>
        <v>MERC/CAPEX/2020-21/WFH/SBR/ 19</v>
      </c>
      <c r="D236" s="1081">
        <f t="shared" si="46"/>
        <v>44029</v>
      </c>
      <c r="E236" s="1163">
        <f t="shared" si="46"/>
        <v>0.85</v>
      </c>
      <c r="F236" s="1177">
        <f t="shared" si="42"/>
        <v>0</v>
      </c>
      <c r="G236" s="1177">
        <f t="shared" si="43"/>
        <v>0</v>
      </c>
      <c r="H236" s="1177">
        <f t="shared" si="36"/>
        <v>0</v>
      </c>
      <c r="I236" s="1158">
        <v>0</v>
      </c>
      <c r="J236" s="1158">
        <v>0</v>
      </c>
      <c r="K236" s="1177"/>
      <c r="L236" s="1177"/>
      <c r="M236" s="1177">
        <f t="shared" si="37"/>
        <v>0</v>
      </c>
      <c r="N236" s="1177">
        <f t="shared" si="38"/>
        <v>0</v>
      </c>
      <c r="O236" s="1159">
        <f t="shared" si="44"/>
        <v>0</v>
      </c>
      <c r="P236" s="1014">
        <f t="shared" si="45"/>
        <v>0</v>
      </c>
    </row>
    <row r="237" spans="1:16" ht="15.5" outlineLevel="1" x14ac:dyDescent="0.25">
      <c r="A237" s="1160">
        <f t="shared" si="46"/>
        <v>0</v>
      </c>
      <c r="B237" s="1161">
        <f t="shared" si="46"/>
        <v>0</v>
      </c>
      <c r="C237" s="984">
        <f t="shared" si="46"/>
        <v>0</v>
      </c>
      <c r="D237" s="1081" t="str">
        <f t="shared" si="46"/>
        <v>-</v>
      </c>
      <c r="E237" s="1178">
        <f t="shared" si="46"/>
        <v>0</v>
      </c>
      <c r="F237" s="1179">
        <f t="shared" si="42"/>
        <v>0</v>
      </c>
      <c r="G237" s="1179">
        <f t="shared" si="43"/>
        <v>0</v>
      </c>
      <c r="H237" s="1179">
        <f t="shared" si="36"/>
        <v>0</v>
      </c>
      <c r="I237" s="1158">
        <v>0</v>
      </c>
      <c r="J237" s="1158">
        <v>0</v>
      </c>
      <c r="K237" s="1179"/>
      <c r="L237" s="1179"/>
      <c r="M237" s="1179">
        <f t="shared" si="37"/>
        <v>0</v>
      </c>
      <c r="N237" s="1179">
        <f t="shared" si="38"/>
        <v>0</v>
      </c>
      <c r="O237" s="1159">
        <f t="shared" si="44"/>
        <v>0</v>
      </c>
      <c r="P237" s="1014">
        <f t="shared" si="45"/>
        <v>0</v>
      </c>
    </row>
    <row r="238" spans="1:16" ht="15.5" outlineLevel="1" x14ac:dyDescent="0.25">
      <c r="A238" s="1047">
        <f t="shared" si="46"/>
        <v>0</v>
      </c>
      <c r="B238" s="1150" t="str">
        <f t="shared" si="46"/>
        <v>Yet to be approved by MERC (F Y 2024-25)</v>
      </c>
      <c r="C238" s="984">
        <f t="shared" si="46"/>
        <v>0</v>
      </c>
      <c r="D238" s="1081" t="str">
        <f t="shared" si="46"/>
        <v>-</v>
      </c>
      <c r="E238" s="1178">
        <f t="shared" si="46"/>
        <v>0</v>
      </c>
      <c r="F238" s="1179">
        <f t="shared" si="42"/>
        <v>0</v>
      </c>
      <c r="G238" s="1179">
        <f t="shared" si="43"/>
        <v>0</v>
      </c>
      <c r="H238" s="1179">
        <f t="shared" si="36"/>
        <v>0</v>
      </c>
      <c r="I238" s="1158">
        <v>0</v>
      </c>
      <c r="J238" s="1158">
        <v>0</v>
      </c>
      <c r="K238" s="1179"/>
      <c r="L238" s="1179"/>
      <c r="M238" s="1179">
        <f t="shared" si="37"/>
        <v>0</v>
      </c>
      <c r="N238" s="1179">
        <f t="shared" si="38"/>
        <v>0</v>
      </c>
    </row>
    <row r="239" spans="1:16" ht="46.5" outlineLevel="1" x14ac:dyDescent="0.25">
      <c r="A239" s="1044">
        <f t="shared" si="46"/>
        <v>1</v>
      </c>
      <c r="B239" s="1169" t="str">
        <f t="shared" si="46"/>
        <v xml:space="preserve">Post-facto DPR for “Urgent restoration and Life Enhancement
of Unit-1, 125MW M/s Fuji make Hydro Generator for
prolonged efficient operation at Ghatghar HPS                                            </v>
      </c>
      <c r="C239" s="1155">
        <f t="shared" si="46"/>
        <v>0</v>
      </c>
      <c r="D239" s="1156" t="str">
        <f t="shared" si="46"/>
        <v>-</v>
      </c>
      <c r="E239" s="1157">
        <f t="shared" si="46"/>
        <v>0</v>
      </c>
      <c r="F239" s="1180">
        <f t="shared" si="42"/>
        <v>0</v>
      </c>
      <c r="G239" s="1180">
        <f t="shared" si="43"/>
        <v>0</v>
      </c>
      <c r="H239" s="1180">
        <f t="shared" si="36"/>
        <v>0</v>
      </c>
      <c r="I239" s="1158">
        <v>14.34</v>
      </c>
      <c r="J239" s="1158">
        <v>14.34</v>
      </c>
      <c r="K239" s="1180"/>
      <c r="L239" s="1180"/>
      <c r="M239" s="1180">
        <f t="shared" si="37"/>
        <v>14.34</v>
      </c>
      <c r="N239" s="1180">
        <f t="shared" si="38"/>
        <v>0</v>
      </c>
    </row>
    <row r="240" spans="1:16" ht="31" outlineLevel="1" x14ac:dyDescent="0.25">
      <c r="A240" s="1044">
        <f t="shared" si="46"/>
        <v>2</v>
      </c>
      <c r="B240" s="1169" t="str">
        <f t="shared" si="46"/>
        <v>Dismantling and assembly of Unit-2 stator and other allied works at Ghatghar HPS</v>
      </c>
      <c r="C240" s="1162">
        <f t="shared" si="46"/>
        <v>0</v>
      </c>
      <c r="D240" s="1081" t="str">
        <f t="shared" si="46"/>
        <v>-</v>
      </c>
      <c r="E240" s="1163">
        <f t="shared" si="46"/>
        <v>0</v>
      </c>
      <c r="F240" s="1177">
        <f t="shared" si="42"/>
        <v>0</v>
      </c>
      <c r="G240" s="1177">
        <f t="shared" si="43"/>
        <v>0</v>
      </c>
      <c r="H240" s="1177">
        <f t="shared" si="36"/>
        <v>0</v>
      </c>
      <c r="I240" s="1158">
        <v>0.92</v>
      </c>
      <c r="J240" s="1158">
        <v>0.92</v>
      </c>
      <c r="K240" s="1177"/>
      <c r="L240" s="1177"/>
      <c r="M240" s="1177">
        <f t="shared" si="37"/>
        <v>0.92</v>
      </c>
      <c r="N240" s="1177">
        <f t="shared" si="38"/>
        <v>0</v>
      </c>
    </row>
    <row r="241" spans="1:14" ht="46.5" outlineLevel="1" x14ac:dyDescent="0.25">
      <c r="A241" s="1044">
        <f t="shared" si="46"/>
        <v>3</v>
      </c>
      <c r="B241" s="1169" t="str">
        <f t="shared" si="46"/>
        <v>Urgent restoration and Life Enhancement of Unit-2, 125MW M/s Fuji make Hydro Generator for prolonged efficient operation at Ghatghar HPS</v>
      </c>
      <c r="C241" s="1162">
        <f t="shared" si="46"/>
        <v>0</v>
      </c>
      <c r="D241" s="1081" t="str">
        <f t="shared" si="46"/>
        <v>-</v>
      </c>
      <c r="E241" s="1163">
        <f t="shared" si="46"/>
        <v>0</v>
      </c>
      <c r="F241" s="1177">
        <f t="shared" si="42"/>
        <v>0</v>
      </c>
      <c r="G241" s="1177">
        <f t="shared" si="43"/>
        <v>0</v>
      </c>
      <c r="H241" s="1177">
        <f t="shared" si="36"/>
        <v>0</v>
      </c>
      <c r="I241" s="1158">
        <v>12.69</v>
      </c>
      <c r="J241" s="1158">
        <v>12.69</v>
      </c>
      <c r="K241" s="1177"/>
      <c r="L241" s="1177"/>
      <c r="M241" s="1177">
        <f t="shared" si="37"/>
        <v>12.69</v>
      </c>
      <c r="N241" s="1177">
        <f t="shared" si="38"/>
        <v>0</v>
      </c>
    </row>
    <row r="242" spans="1:14" ht="31" outlineLevel="1" x14ac:dyDescent="0.25">
      <c r="A242" s="1168">
        <f t="shared" si="46"/>
        <v>4</v>
      </c>
      <c r="B242" s="1169" t="str">
        <f t="shared" si="46"/>
        <v>Work of unit 2 stator core top lamination replacement work of GHPS</v>
      </c>
      <c r="C242" s="1162">
        <f t="shared" si="46"/>
        <v>0</v>
      </c>
      <c r="D242" s="1081" t="str">
        <f t="shared" si="46"/>
        <v>-</v>
      </c>
      <c r="E242" s="1163">
        <f t="shared" si="46"/>
        <v>0</v>
      </c>
      <c r="F242" s="1177">
        <f t="shared" si="42"/>
        <v>0</v>
      </c>
      <c r="G242" s="1177">
        <f t="shared" si="43"/>
        <v>0</v>
      </c>
      <c r="H242" s="1177">
        <f t="shared" si="36"/>
        <v>0</v>
      </c>
      <c r="I242" s="1158">
        <v>1.57</v>
      </c>
      <c r="J242" s="1158">
        <v>1.57</v>
      </c>
      <c r="K242" s="1177"/>
      <c r="L242" s="1177"/>
      <c r="M242" s="1177">
        <f t="shared" si="37"/>
        <v>1.57</v>
      </c>
      <c r="N242" s="1177">
        <f t="shared" si="38"/>
        <v>0</v>
      </c>
    </row>
    <row r="243" spans="1:14" ht="15.5" outlineLevel="1" x14ac:dyDescent="0.25">
      <c r="A243" s="1011">
        <f t="shared" si="46"/>
        <v>0</v>
      </c>
      <c r="B243" s="1150" t="str">
        <f t="shared" si="46"/>
        <v>(ii) Yet to be submitted to MERC(F Y 2025-26)</v>
      </c>
      <c r="C243" s="1162">
        <f t="shared" si="46"/>
        <v>0</v>
      </c>
      <c r="D243" s="1081" t="str">
        <f t="shared" si="46"/>
        <v>-</v>
      </c>
      <c r="E243" s="1163">
        <f t="shared" si="46"/>
        <v>0</v>
      </c>
      <c r="F243" s="1177">
        <f t="shared" si="42"/>
        <v>0</v>
      </c>
      <c r="G243" s="1177">
        <f t="shared" si="43"/>
        <v>0</v>
      </c>
      <c r="H243" s="1177">
        <f t="shared" si="36"/>
        <v>0</v>
      </c>
      <c r="I243" s="1158">
        <v>0</v>
      </c>
      <c r="J243" s="1158">
        <v>0</v>
      </c>
      <c r="K243" s="1177"/>
      <c r="L243" s="1177"/>
      <c r="M243" s="1177">
        <f t="shared" si="37"/>
        <v>0</v>
      </c>
      <c r="N243" s="1177">
        <f t="shared" si="38"/>
        <v>0</v>
      </c>
    </row>
    <row r="244" spans="1:14" ht="15.5" outlineLevel="1" x14ac:dyDescent="0.25">
      <c r="A244" s="1011">
        <f t="shared" si="46"/>
        <v>0</v>
      </c>
      <c r="B244" s="1150" t="str">
        <f t="shared" si="46"/>
        <v>DPR 1</v>
      </c>
      <c r="C244" s="1162">
        <f t="shared" si="46"/>
        <v>0</v>
      </c>
      <c r="D244" s="1081" t="str">
        <f t="shared" si="46"/>
        <v>-</v>
      </c>
      <c r="E244" s="1163">
        <f t="shared" si="46"/>
        <v>0</v>
      </c>
      <c r="F244" s="1177">
        <f t="shared" si="42"/>
        <v>0</v>
      </c>
      <c r="G244" s="1177">
        <f t="shared" si="43"/>
        <v>0</v>
      </c>
      <c r="H244" s="1177">
        <f t="shared" si="36"/>
        <v>0</v>
      </c>
      <c r="I244" s="1158">
        <v>0</v>
      </c>
      <c r="J244" s="1158">
        <v>0</v>
      </c>
      <c r="K244" s="1177"/>
      <c r="L244" s="1177"/>
      <c r="M244" s="1177">
        <f t="shared" si="37"/>
        <v>0</v>
      </c>
      <c r="N244" s="1177">
        <f t="shared" si="38"/>
        <v>0</v>
      </c>
    </row>
    <row r="245" spans="1:14" ht="31" outlineLevel="1" x14ac:dyDescent="0.25">
      <c r="A245" s="1160">
        <f t="shared" si="46"/>
        <v>1</v>
      </c>
      <c r="B245" s="1169" t="str">
        <f t="shared" si="46"/>
        <v xml:space="preserve">Procurement &amp; commissioning of Battery bank, 55 cells of 2V  2035AH YHP39 Exide make at Ghatghar HPS </v>
      </c>
      <c r="C245" s="1162">
        <f t="shared" si="46"/>
        <v>0</v>
      </c>
      <c r="D245" s="1081" t="str">
        <f t="shared" si="46"/>
        <v>-</v>
      </c>
      <c r="E245" s="1163">
        <f t="shared" si="46"/>
        <v>0</v>
      </c>
      <c r="F245" s="1177">
        <f t="shared" si="42"/>
        <v>0</v>
      </c>
      <c r="G245" s="1177">
        <f t="shared" si="43"/>
        <v>0</v>
      </c>
      <c r="H245" s="1177">
        <f t="shared" si="36"/>
        <v>0</v>
      </c>
      <c r="I245" s="1158">
        <v>0</v>
      </c>
      <c r="J245" s="1158">
        <v>0</v>
      </c>
      <c r="K245" s="1177"/>
      <c r="L245" s="1177"/>
      <c r="M245" s="1177">
        <f t="shared" si="37"/>
        <v>0</v>
      </c>
      <c r="N245" s="1177">
        <f t="shared" si="38"/>
        <v>0</v>
      </c>
    </row>
    <row r="246" spans="1:14" ht="31" outlineLevel="1" x14ac:dyDescent="0.25">
      <c r="A246" s="1160">
        <f t="shared" si="46"/>
        <v>2</v>
      </c>
      <c r="B246" s="1169" t="str">
        <f t="shared" si="46"/>
        <v xml:space="preserve">Complete refurbishment of Stator frame , core &amp; winding of 01 No generator stator at Ghatghar HPS. </v>
      </c>
      <c r="C246" s="1162">
        <f t="shared" si="46"/>
        <v>0</v>
      </c>
      <c r="D246" s="1081" t="str">
        <f t="shared" si="46"/>
        <v>-</v>
      </c>
      <c r="E246" s="1163">
        <f t="shared" si="46"/>
        <v>0</v>
      </c>
      <c r="F246" s="1177">
        <f t="shared" si="42"/>
        <v>0</v>
      </c>
      <c r="G246" s="1177">
        <f t="shared" si="43"/>
        <v>0</v>
      </c>
      <c r="H246" s="1177">
        <f t="shared" si="36"/>
        <v>0</v>
      </c>
      <c r="I246" s="1158">
        <v>0</v>
      </c>
      <c r="J246" s="1158">
        <v>0</v>
      </c>
      <c r="K246" s="1177"/>
      <c r="L246" s="1177"/>
      <c r="M246" s="1177">
        <f t="shared" si="37"/>
        <v>0</v>
      </c>
      <c r="N246" s="1177">
        <f t="shared" si="38"/>
        <v>0</v>
      </c>
    </row>
    <row r="247" spans="1:14" ht="15.5" outlineLevel="1" x14ac:dyDescent="0.25">
      <c r="A247" s="1160">
        <f t="shared" ref="A247:E262" si="47">A149</f>
        <v>3</v>
      </c>
      <c r="B247" s="1169" t="str">
        <f t="shared" si="47"/>
        <v xml:space="preserve">Generator Circuit breaker Electrical OH at Ghatghar HPS. </v>
      </c>
      <c r="C247" s="1162">
        <f t="shared" si="47"/>
        <v>0</v>
      </c>
      <c r="D247" s="1156" t="str">
        <f t="shared" si="47"/>
        <v>-</v>
      </c>
      <c r="E247" s="1157">
        <f t="shared" si="47"/>
        <v>0</v>
      </c>
      <c r="F247" s="1180">
        <f t="shared" si="42"/>
        <v>0</v>
      </c>
      <c r="G247" s="1180">
        <f t="shared" si="43"/>
        <v>0</v>
      </c>
      <c r="H247" s="1180">
        <f t="shared" si="36"/>
        <v>0</v>
      </c>
      <c r="I247" s="1158">
        <v>0</v>
      </c>
      <c r="J247" s="1158">
        <v>0</v>
      </c>
      <c r="K247" s="1180"/>
      <c r="L247" s="1180"/>
      <c r="M247" s="1180">
        <f t="shared" si="37"/>
        <v>0</v>
      </c>
      <c r="N247" s="1180">
        <f t="shared" si="38"/>
        <v>0</v>
      </c>
    </row>
    <row r="248" spans="1:14" ht="15.5" outlineLevel="1" x14ac:dyDescent="0.25">
      <c r="A248" s="1160">
        <f t="shared" si="47"/>
        <v>4</v>
      </c>
      <c r="B248" s="1169" t="str">
        <f t="shared" si="47"/>
        <v xml:space="preserve">Water filter treatment plant and pipeline at Ghatghar HPS. </v>
      </c>
      <c r="C248" s="1162">
        <f t="shared" si="47"/>
        <v>0</v>
      </c>
      <c r="D248" s="1081" t="str">
        <f t="shared" si="47"/>
        <v>-</v>
      </c>
      <c r="E248" s="1163">
        <f t="shared" si="47"/>
        <v>0</v>
      </c>
      <c r="F248" s="1177">
        <f t="shared" si="42"/>
        <v>0</v>
      </c>
      <c r="G248" s="1177">
        <f t="shared" si="43"/>
        <v>0</v>
      </c>
      <c r="H248" s="1177">
        <f t="shared" si="36"/>
        <v>0</v>
      </c>
      <c r="I248" s="1158">
        <v>0</v>
      </c>
      <c r="J248" s="1158">
        <v>0</v>
      </c>
      <c r="K248" s="1177"/>
      <c r="L248" s="1177"/>
      <c r="M248" s="1177">
        <f t="shared" si="37"/>
        <v>0</v>
      </c>
      <c r="N248" s="1177">
        <f t="shared" si="38"/>
        <v>0</v>
      </c>
    </row>
    <row r="249" spans="1:14" ht="15.5" outlineLevel="1" x14ac:dyDescent="0.25">
      <c r="A249" s="1160">
        <f t="shared" si="47"/>
        <v>0</v>
      </c>
      <c r="B249" s="1150" t="str">
        <f t="shared" si="47"/>
        <v>DPR 2</v>
      </c>
      <c r="C249" s="1162">
        <f t="shared" si="47"/>
        <v>0</v>
      </c>
      <c r="D249" s="1081" t="str">
        <f t="shared" si="47"/>
        <v>-</v>
      </c>
      <c r="E249" s="1163">
        <f t="shared" si="47"/>
        <v>0</v>
      </c>
      <c r="F249" s="1177">
        <f t="shared" si="42"/>
        <v>0</v>
      </c>
      <c r="G249" s="1177">
        <f t="shared" si="43"/>
        <v>0</v>
      </c>
      <c r="H249" s="1177">
        <f t="shared" si="36"/>
        <v>0</v>
      </c>
      <c r="I249" s="1158">
        <v>0</v>
      </c>
      <c r="J249" s="1158">
        <v>0</v>
      </c>
      <c r="K249" s="1177"/>
      <c r="L249" s="1177"/>
      <c r="M249" s="1177">
        <f t="shared" si="37"/>
        <v>0</v>
      </c>
      <c r="N249" s="1177">
        <f t="shared" si="38"/>
        <v>0</v>
      </c>
    </row>
    <row r="250" spans="1:14" ht="31" outlineLevel="1" x14ac:dyDescent="0.25">
      <c r="A250" s="1011">
        <f t="shared" si="47"/>
        <v>1</v>
      </c>
      <c r="B250" s="1170" t="str">
        <f t="shared" si="47"/>
        <v xml:space="preserve">Design,supply,errection,testing &amp; commissioning of  digital governing system at Paithan HPS.                        </v>
      </c>
      <c r="C250" s="1162">
        <f t="shared" si="47"/>
        <v>0</v>
      </c>
      <c r="D250" s="1081" t="str">
        <f t="shared" si="47"/>
        <v>-</v>
      </c>
      <c r="E250" s="1163">
        <f t="shared" si="47"/>
        <v>0</v>
      </c>
      <c r="F250" s="1177">
        <f t="shared" si="42"/>
        <v>0</v>
      </c>
      <c r="G250" s="1177">
        <f t="shared" si="43"/>
        <v>0</v>
      </c>
      <c r="H250" s="1177">
        <f t="shared" si="36"/>
        <v>0</v>
      </c>
      <c r="I250" s="1158">
        <v>0</v>
      </c>
      <c r="J250" s="1158">
        <v>0</v>
      </c>
      <c r="K250" s="1177"/>
      <c r="L250" s="1177"/>
      <c r="M250" s="1177">
        <f t="shared" si="37"/>
        <v>0</v>
      </c>
      <c r="N250" s="1177">
        <f t="shared" si="38"/>
        <v>0</v>
      </c>
    </row>
    <row r="251" spans="1:14" ht="31" outlineLevel="1" x14ac:dyDescent="0.25">
      <c r="A251" s="1011">
        <f t="shared" si="47"/>
        <v>2</v>
      </c>
      <c r="B251" s="1169" t="str">
        <f t="shared" si="47"/>
        <v xml:space="preserve">Design,Supply ,testing ,erection and commissioing of DAVR system at Paithan HPS.                                                     </v>
      </c>
      <c r="C251" s="1162">
        <f t="shared" si="47"/>
        <v>0</v>
      </c>
      <c r="D251" s="1081" t="str">
        <f t="shared" si="47"/>
        <v>-</v>
      </c>
      <c r="E251" s="1163">
        <f t="shared" si="47"/>
        <v>0</v>
      </c>
      <c r="F251" s="1177">
        <f t="shared" si="42"/>
        <v>0</v>
      </c>
      <c r="G251" s="1177">
        <f t="shared" si="43"/>
        <v>0</v>
      </c>
      <c r="H251" s="1177">
        <f t="shared" si="36"/>
        <v>0</v>
      </c>
      <c r="I251" s="1158">
        <v>0</v>
      </c>
      <c r="J251" s="1158">
        <v>0</v>
      </c>
      <c r="K251" s="1177"/>
      <c r="L251" s="1177"/>
      <c r="M251" s="1177">
        <f t="shared" si="37"/>
        <v>0</v>
      </c>
      <c r="N251" s="1177">
        <f t="shared" si="38"/>
        <v>0</v>
      </c>
    </row>
    <row r="252" spans="1:14" ht="31" outlineLevel="1" x14ac:dyDescent="0.25">
      <c r="A252" s="1011">
        <f t="shared" si="47"/>
        <v>3</v>
      </c>
      <c r="B252" s="1169" t="str">
        <f t="shared" si="47"/>
        <v xml:space="preserve">Design,supply,testing ,erection and commissioing of DCS control system at Paithan HPS.                                                       </v>
      </c>
      <c r="C252" s="1162">
        <f t="shared" si="47"/>
        <v>0</v>
      </c>
      <c r="D252" s="1081" t="str">
        <f t="shared" si="47"/>
        <v>-</v>
      </c>
      <c r="E252" s="1163">
        <f t="shared" si="47"/>
        <v>0</v>
      </c>
      <c r="F252" s="1177">
        <f t="shared" si="42"/>
        <v>0</v>
      </c>
      <c r="G252" s="1177">
        <f t="shared" si="43"/>
        <v>0</v>
      </c>
      <c r="H252" s="1177">
        <f t="shared" si="36"/>
        <v>0</v>
      </c>
      <c r="I252" s="1158">
        <v>0</v>
      </c>
      <c r="J252" s="1158">
        <v>0</v>
      </c>
      <c r="K252" s="1177"/>
      <c r="L252" s="1177"/>
      <c r="M252" s="1177">
        <f t="shared" si="37"/>
        <v>0</v>
      </c>
      <c r="N252" s="1177">
        <f t="shared" si="38"/>
        <v>0</v>
      </c>
    </row>
    <row r="253" spans="1:14" ht="31" outlineLevel="1" x14ac:dyDescent="0.25">
      <c r="A253" s="1011">
        <f t="shared" si="47"/>
        <v>4</v>
      </c>
      <c r="B253" s="1169" t="str">
        <f t="shared" si="47"/>
        <v xml:space="preserve">Design,supply ,testing ,erection and commissioing of Automated Co2 fire extinguishers system  at Paithan HPS.                                         </v>
      </c>
      <c r="C253" s="1162">
        <f t="shared" si="47"/>
        <v>0</v>
      </c>
      <c r="D253" s="1081" t="str">
        <f t="shared" si="47"/>
        <v>-</v>
      </c>
      <c r="E253" s="1163">
        <f t="shared" si="47"/>
        <v>0</v>
      </c>
      <c r="F253" s="1177">
        <f t="shared" si="42"/>
        <v>0</v>
      </c>
      <c r="G253" s="1177">
        <f t="shared" si="43"/>
        <v>0</v>
      </c>
      <c r="H253" s="1177">
        <f t="shared" si="36"/>
        <v>0</v>
      </c>
      <c r="I253" s="1158">
        <v>0</v>
      </c>
      <c r="J253" s="1158">
        <v>0</v>
      </c>
      <c r="K253" s="1177"/>
      <c r="L253" s="1177"/>
      <c r="M253" s="1177">
        <f t="shared" si="37"/>
        <v>0</v>
      </c>
      <c r="N253" s="1177">
        <f t="shared" si="38"/>
        <v>0</v>
      </c>
    </row>
    <row r="254" spans="1:14" ht="31" outlineLevel="1" x14ac:dyDescent="0.25">
      <c r="A254" s="1011">
        <f t="shared" si="47"/>
        <v>5</v>
      </c>
      <c r="B254" s="1169" t="str">
        <f t="shared" si="47"/>
        <v xml:space="preserve">Design,Supply ,testing ,erection and commissioing of Numerical protection system at Yeldari HPS.                                        </v>
      </c>
      <c r="C254" s="1162">
        <f t="shared" si="47"/>
        <v>0</v>
      </c>
      <c r="D254" s="1081" t="str">
        <f t="shared" si="47"/>
        <v>-</v>
      </c>
      <c r="E254" s="1163">
        <f t="shared" si="47"/>
        <v>0</v>
      </c>
      <c r="F254" s="1177">
        <f t="shared" si="42"/>
        <v>0</v>
      </c>
      <c r="G254" s="1177">
        <f t="shared" si="43"/>
        <v>0</v>
      </c>
      <c r="H254" s="1177">
        <f t="shared" si="36"/>
        <v>0</v>
      </c>
      <c r="I254" s="1158">
        <v>0</v>
      </c>
      <c r="J254" s="1158">
        <v>0</v>
      </c>
      <c r="K254" s="1177"/>
      <c r="L254" s="1177"/>
      <c r="M254" s="1177">
        <f t="shared" si="37"/>
        <v>0</v>
      </c>
      <c r="N254" s="1177">
        <f t="shared" si="38"/>
        <v>0</v>
      </c>
    </row>
    <row r="255" spans="1:14" ht="31" outlineLevel="1" x14ac:dyDescent="0.25">
      <c r="A255" s="1011">
        <f t="shared" si="47"/>
        <v>6</v>
      </c>
      <c r="B255" s="1169" t="str">
        <f t="shared" si="47"/>
        <v xml:space="preserve">Design,Supply ,testing ,erection and commissioing of C&amp;I control &amp; measurement with SCADA at Yeldari HPS.                                                           </v>
      </c>
      <c r="C255" s="1162">
        <f t="shared" si="47"/>
        <v>0</v>
      </c>
      <c r="D255" s="1081" t="str">
        <f t="shared" si="47"/>
        <v>-</v>
      </c>
      <c r="E255" s="1163">
        <f t="shared" si="47"/>
        <v>0</v>
      </c>
      <c r="F255" s="1177">
        <f t="shared" si="42"/>
        <v>0</v>
      </c>
      <c r="G255" s="1177">
        <f t="shared" si="43"/>
        <v>0</v>
      </c>
      <c r="H255" s="1177">
        <f t="shared" si="36"/>
        <v>0</v>
      </c>
      <c r="I255" s="1158">
        <v>0</v>
      </c>
      <c r="J255" s="1158">
        <v>0</v>
      </c>
      <c r="K255" s="1177"/>
      <c r="L255" s="1177"/>
      <c r="M255" s="1177">
        <f t="shared" si="37"/>
        <v>0</v>
      </c>
      <c r="N255" s="1177">
        <f t="shared" si="38"/>
        <v>0</v>
      </c>
    </row>
    <row r="256" spans="1:14" ht="31" outlineLevel="1" x14ac:dyDescent="0.25">
      <c r="A256" s="1011">
        <f t="shared" si="47"/>
        <v>7</v>
      </c>
      <c r="B256" s="1169" t="str">
        <f t="shared" si="47"/>
        <v xml:space="preserve">Design,Supply ,testing ,erection and commissioing of DAVR system at Yeldari HPS                                                        </v>
      </c>
      <c r="C256" s="1162">
        <f t="shared" si="47"/>
        <v>0</v>
      </c>
      <c r="D256" s="1081" t="str">
        <f t="shared" si="47"/>
        <v>-</v>
      </c>
      <c r="E256" s="1163">
        <f t="shared" si="47"/>
        <v>0</v>
      </c>
      <c r="F256" s="1177">
        <f t="shared" si="42"/>
        <v>0</v>
      </c>
      <c r="G256" s="1177">
        <f t="shared" si="43"/>
        <v>0</v>
      </c>
      <c r="H256" s="1177">
        <f t="shared" si="36"/>
        <v>0</v>
      </c>
      <c r="I256" s="1158">
        <v>0</v>
      </c>
      <c r="J256" s="1158">
        <v>0</v>
      </c>
      <c r="K256" s="1177"/>
      <c r="L256" s="1177"/>
      <c r="M256" s="1177">
        <f t="shared" si="37"/>
        <v>0</v>
      </c>
      <c r="N256" s="1177">
        <f t="shared" si="38"/>
        <v>0</v>
      </c>
    </row>
    <row r="257" spans="1:14" ht="31" outlineLevel="1" x14ac:dyDescent="0.25">
      <c r="A257" s="1011">
        <f t="shared" si="47"/>
        <v>8</v>
      </c>
      <c r="B257" s="1169" t="str">
        <f t="shared" si="47"/>
        <v xml:space="preserve">Design,supply,errection,testing &amp; commissioning of  digital governing system at Yeldari HPS.                                           </v>
      </c>
      <c r="C257" s="1162">
        <f t="shared" si="47"/>
        <v>0</v>
      </c>
      <c r="D257" s="1081" t="str">
        <f t="shared" si="47"/>
        <v>-</v>
      </c>
      <c r="E257" s="1163">
        <f t="shared" si="47"/>
        <v>0</v>
      </c>
      <c r="F257" s="1177">
        <f t="shared" si="42"/>
        <v>0</v>
      </c>
      <c r="G257" s="1177">
        <f t="shared" si="43"/>
        <v>0</v>
      </c>
      <c r="H257" s="1177">
        <f t="shared" si="36"/>
        <v>0</v>
      </c>
      <c r="I257" s="1158">
        <v>0</v>
      </c>
      <c r="J257" s="1158">
        <v>0</v>
      </c>
      <c r="K257" s="1177"/>
      <c r="L257" s="1177"/>
      <c r="M257" s="1177">
        <f t="shared" si="37"/>
        <v>0</v>
      </c>
      <c r="N257" s="1177">
        <f t="shared" si="38"/>
        <v>0</v>
      </c>
    </row>
    <row r="258" spans="1:14" ht="15.5" outlineLevel="1" x14ac:dyDescent="0.25">
      <c r="A258" s="1168">
        <f t="shared" si="47"/>
        <v>0</v>
      </c>
      <c r="B258" s="1150" t="str">
        <f t="shared" si="47"/>
        <v>DPR 3 (CIVIL)</v>
      </c>
      <c r="C258" s="1162">
        <f t="shared" si="47"/>
        <v>0</v>
      </c>
      <c r="D258" s="1081" t="str">
        <f t="shared" si="47"/>
        <v>-</v>
      </c>
      <c r="E258" s="1163">
        <f t="shared" si="47"/>
        <v>0</v>
      </c>
      <c r="F258" s="1177">
        <f t="shared" si="42"/>
        <v>0</v>
      </c>
      <c r="G258" s="1177">
        <f t="shared" si="43"/>
        <v>0</v>
      </c>
      <c r="H258" s="1177">
        <f t="shared" si="36"/>
        <v>0</v>
      </c>
      <c r="I258" s="1158">
        <v>0</v>
      </c>
      <c r="J258" s="1158">
        <v>0</v>
      </c>
      <c r="K258" s="1177"/>
      <c r="L258" s="1177"/>
      <c r="M258" s="1177">
        <f t="shared" si="37"/>
        <v>0</v>
      </c>
      <c r="N258" s="1177">
        <f t="shared" si="38"/>
        <v>0</v>
      </c>
    </row>
    <row r="259" spans="1:14" ht="31" outlineLevel="1" x14ac:dyDescent="0.25">
      <c r="A259" s="1011">
        <f t="shared" si="47"/>
        <v>1</v>
      </c>
      <c r="B259" s="1169" t="str">
        <f t="shared" si="47"/>
        <v>Fortification and Rock fall protection Measures in Vaitarna Hydro Electric Power Project  Premises ,Tal- Igatpuri , Dist-Nashik.</v>
      </c>
      <c r="C259" s="1162">
        <f t="shared" si="47"/>
        <v>0</v>
      </c>
      <c r="D259" s="1081" t="str">
        <f t="shared" si="47"/>
        <v>-</v>
      </c>
      <c r="E259" s="1163">
        <f t="shared" si="47"/>
        <v>0</v>
      </c>
      <c r="F259" s="1177">
        <f t="shared" si="42"/>
        <v>0</v>
      </c>
      <c r="G259" s="1177">
        <f t="shared" si="43"/>
        <v>0</v>
      </c>
      <c r="H259" s="1177">
        <f t="shared" si="36"/>
        <v>0</v>
      </c>
      <c r="I259" s="1158">
        <v>0</v>
      </c>
      <c r="J259" s="1158">
        <v>0</v>
      </c>
      <c r="K259" s="1177"/>
      <c r="L259" s="1177"/>
      <c r="M259" s="1177">
        <f t="shared" si="37"/>
        <v>0</v>
      </c>
      <c r="N259" s="1177">
        <f t="shared" si="38"/>
        <v>0</v>
      </c>
    </row>
    <row r="260" spans="1:14" ht="31" outlineLevel="1" x14ac:dyDescent="0.25">
      <c r="A260" s="1011">
        <f t="shared" si="47"/>
        <v>2</v>
      </c>
      <c r="B260" s="1169" t="str">
        <f t="shared" si="47"/>
        <v>Work of construction of Bituminous approach road to Portal Switchyard at Vaitarna HPS.</v>
      </c>
      <c r="C260" s="1162">
        <f t="shared" si="47"/>
        <v>0</v>
      </c>
      <c r="D260" s="1081" t="str">
        <f t="shared" si="47"/>
        <v>-</v>
      </c>
      <c r="E260" s="1163">
        <f t="shared" si="47"/>
        <v>0</v>
      </c>
      <c r="F260" s="1177">
        <f t="shared" si="42"/>
        <v>0</v>
      </c>
      <c r="G260" s="1177">
        <f t="shared" si="43"/>
        <v>0</v>
      </c>
      <c r="H260" s="1177">
        <f t="shared" si="36"/>
        <v>0</v>
      </c>
      <c r="I260" s="1158">
        <v>0</v>
      </c>
      <c r="J260" s="1158">
        <v>0</v>
      </c>
      <c r="K260" s="1177"/>
      <c r="L260" s="1177"/>
      <c r="M260" s="1177">
        <f t="shared" si="37"/>
        <v>0</v>
      </c>
      <c r="N260" s="1177">
        <f t="shared" si="38"/>
        <v>0</v>
      </c>
    </row>
    <row r="261" spans="1:14" ht="31" outlineLevel="1" x14ac:dyDescent="0.25">
      <c r="A261" s="1011">
        <f t="shared" si="47"/>
        <v>3</v>
      </c>
      <c r="B261" s="1169" t="str">
        <f t="shared" si="47"/>
        <v>Work of construction of Gabion wall structure on down stream of nallah near Tunnel  at Vaitarna HPS.</v>
      </c>
      <c r="C261" s="1162">
        <f t="shared" si="47"/>
        <v>0</v>
      </c>
      <c r="D261" s="1081" t="str">
        <f t="shared" si="47"/>
        <v>-</v>
      </c>
      <c r="E261" s="1163">
        <f t="shared" si="47"/>
        <v>0</v>
      </c>
      <c r="F261" s="1177">
        <f t="shared" si="42"/>
        <v>0</v>
      </c>
      <c r="G261" s="1177">
        <f t="shared" si="43"/>
        <v>0</v>
      </c>
      <c r="H261" s="1177">
        <f t="shared" si="36"/>
        <v>0</v>
      </c>
      <c r="I261" s="1158">
        <v>0</v>
      </c>
      <c r="J261" s="1158">
        <v>0</v>
      </c>
      <c r="K261" s="1177"/>
      <c r="L261" s="1177"/>
      <c r="M261" s="1177">
        <f t="shared" si="37"/>
        <v>0</v>
      </c>
      <c r="N261" s="1177">
        <f t="shared" si="38"/>
        <v>0</v>
      </c>
    </row>
    <row r="262" spans="1:14" ht="15.5" outlineLevel="1" x14ac:dyDescent="0.25">
      <c r="A262" s="1171">
        <f t="shared" si="47"/>
        <v>0</v>
      </c>
      <c r="B262" s="1150" t="str">
        <f t="shared" si="47"/>
        <v>(ii) Yet to be submitted to MERC(F Y 2026-27)</v>
      </c>
      <c r="C262" s="1162">
        <f t="shared" si="47"/>
        <v>0</v>
      </c>
      <c r="D262" s="1081" t="str">
        <f t="shared" si="47"/>
        <v>-</v>
      </c>
      <c r="E262" s="1163">
        <f t="shared" si="47"/>
        <v>0</v>
      </c>
      <c r="F262" s="1177">
        <f t="shared" si="42"/>
        <v>0</v>
      </c>
      <c r="G262" s="1177">
        <f t="shared" si="43"/>
        <v>0</v>
      </c>
      <c r="H262" s="1177">
        <f t="shared" si="36"/>
        <v>0</v>
      </c>
      <c r="I262" s="1158">
        <v>0</v>
      </c>
      <c r="J262" s="1158">
        <v>0</v>
      </c>
      <c r="K262" s="1177"/>
      <c r="L262" s="1177"/>
      <c r="M262" s="1177">
        <f t="shared" si="37"/>
        <v>0</v>
      </c>
      <c r="N262" s="1177">
        <f t="shared" si="38"/>
        <v>0</v>
      </c>
    </row>
    <row r="263" spans="1:14" ht="15.5" outlineLevel="1" x14ac:dyDescent="0.25">
      <c r="A263" s="1168">
        <f t="shared" ref="A263:E278" si="48">A165</f>
        <v>0</v>
      </c>
      <c r="B263" s="1150" t="str">
        <f t="shared" si="48"/>
        <v>DPR 4</v>
      </c>
      <c r="C263" s="1162">
        <f t="shared" si="48"/>
        <v>0</v>
      </c>
      <c r="D263" s="1081" t="str">
        <f t="shared" si="48"/>
        <v>-</v>
      </c>
      <c r="E263" s="1163">
        <f t="shared" si="48"/>
        <v>0</v>
      </c>
      <c r="F263" s="1177">
        <f t="shared" si="42"/>
        <v>0</v>
      </c>
      <c r="G263" s="1177">
        <f t="shared" si="43"/>
        <v>0</v>
      </c>
      <c r="H263" s="1177">
        <f t="shared" si="36"/>
        <v>0</v>
      </c>
      <c r="I263" s="1158">
        <v>0</v>
      </c>
      <c r="J263" s="1158">
        <v>0</v>
      </c>
      <c r="K263" s="1177"/>
      <c r="L263" s="1177"/>
      <c r="M263" s="1177">
        <f t="shared" si="37"/>
        <v>0</v>
      </c>
      <c r="N263" s="1177">
        <f t="shared" si="38"/>
        <v>0</v>
      </c>
    </row>
    <row r="264" spans="1:14" ht="62" outlineLevel="1" x14ac:dyDescent="0.25">
      <c r="A264" s="1011">
        <f t="shared" si="48"/>
        <v>1</v>
      </c>
      <c r="B264" s="1169" t="str">
        <f t="shared" si="48"/>
        <v xml:space="preserve">Comprehensive work of redesign,manufacture, supply erection, testing &amp; commissioning of Digital Governing, Protection  and control system Consisting of SCADA on single point responsibility at 60 MW Vaitarna HPS.                                                                 </v>
      </c>
      <c r="C264" s="1162">
        <f t="shared" si="48"/>
        <v>0</v>
      </c>
      <c r="D264" s="1081" t="str">
        <f t="shared" si="48"/>
        <v>-</v>
      </c>
      <c r="E264" s="1163">
        <f t="shared" si="48"/>
        <v>0</v>
      </c>
      <c r="F264" s="1177">
        <f t="shared" si="42"/>
        <v>0</v>
      </c>
      <c r="G264" s="1177">
        <f t="shared" si="43"/>
        <v>0</v>
      </c>
      <c r="H264" s="1177">
        <f t="shared" si="36"/>
        <v>0</v>
      </c>
      <c r="I264" s="1158">
        <v>0</v>
      </c>
      <c r="J264" s="1158">
        <v>0</v>
      </c>
      <c r="K264" s="1177"/>
      <c r="L264" s="1177"/>
      <c r="M264" s="1177">
        <f t="shared" si="37"/>
        <v>0</v>
      </c>
      <c r="N264" s="1177">
        <f t="shared" si="38"/>
        <v>0</v>
      </c>
    </row>
    <row r="265" spans="1:14" ht="46.5" outlineLevel="1" x14ac:dyDescent="0.25">
      <c r="A265" s="1011">
        <f t="shared" si="48"/>
        <v>2</v>
      </c>
      <c r="B265" s="1169" t="str">
        <f t="shared" si="48"/>
        <v xml:space="preserve">Comprehensive work of Replacement, Modification,upgradation of cooling water system along with replacement of pipeline,pumps,panel etc at 60 MW Vaitarna HPS.                                           </v>
      </c>
      <c r="C265" s="1162">
        <f t="shared" si="48"/>
        <v>0</v>
      </c>
      <c r="D265" s="1081" t="str">
        <f t="shared" si="48"/>
        <v>-</v>
      </c>
      <c r="E265" s="1163">
        <f t="shared" si="48"/>
        <v>0</v>
      </c>
      <c r="F265" s="1177">
        <f t="shared" si="42"/>
        <v>0</v>
      </c>
      <c r="G265" s="1177">
        <f t="shared" si="43"/>
        <v>0</v>
      </c>
      <c r="H265" s="1177">
        <f t="shared" si="36"/>
        <v>0</v>
      </c>
      <c r="I265" s="1158">
        <v>0</v>
      </c>
      <c r="J265" s="1158">
        <v>0</v>
      </c>
      <c r="K265" s="1177"/>
      <c r="L265" s="1177"/>
      <c r="M265" s="1177">
        <f t="shared" si="37"/>
        <v>0</v>
      </c>
      <c r="N265" s="1177">
        <f t="shared" si="38"/>
        <v>0</v>
      </c>
    </row>
    <row r="266" spans="1:14" ht="31" outlineLevel="1" x14ac:dyDescent="0.25">
      <c r="A266" s="1011">
        <f t="shared" si="48"/>
        <v>3</v>
      </c>
      <c r="B266" s="1169" t="str">
        <f t="shared" si="48"/>
        <v xml:space="preserve"> Design, Manufacture, Supply, Erection, Testing and commissioning of 1000 KVA UAT &amp; EAT at 60MW Vaitarna HPS.                                                                  </v>
      </c>
      <c r="C266" s="1162">
        <f t="shared" si="48"/>
        <v>0</v>
      </c>
      <c r="D266" s="1081" t="str">
        <f t="shared" si="48"/>
        <v>-</v>
      </c>
      <c r="E266" s="1163">
        <f t="shared" si="48"/>
        <v>0</v>
      </c>
      <c r="F266" s="1177">
        <f t="shared" si="42"/>
        <v>0</v>
      </c>
      <c r="G266" s="1177">
        <f t="shared" si="43"/>
        <v>0</v>
      </c>
      <c r="H266" s="1177">
        <f t="shared" si="36"/>
        <v>0</v>
      </c>
      <c r="I266" s="1158">
        <v>0</v>
      </c>
      <c r="J266" s="1158">
        <v>0</v>
      </c>
      <c r="K266" s="1177"/>
      <c r="L266" s="1177"/>
      <c r="M266" s="1177">
        <f t="shared" si="37"/>
        <v>0</v>
      </c>
      <c r="N266" s="1177">
        <f t="shared" si="38"/>
        <v>0</v>
      </c>
    </row>
    <row r="267" spans="1:14" ht="31" outlineLevel="1" x14ac:dyDescent="0.25">
      <c r="A267" s="1011">
        <f t="shared" si="48"/>
        <v>4</v>
      </c>
      <c r="B267" s="1169" t="str">
        <f t="shared" si="48"/>
        <v xml:space="preserve">Supply, Erection, Testing &amp; Commissioning of 500 KVA DG set along with cable and changeover system at 60 MW Vaitarna HPS                                          </v>
      </c>
      <c r="C267" s="1162">
        <f t="shared" si="48"/>
        <v>0</v>
      </c>
      <c r="D267" s="1081" t="str">
        <f t="shared" si="48"/>
        <v>-</v>
      </c>
      <c r="E267" s="1163">
        <f t="shared" si="48"/>
        <v>0</v>
      </c>
      <c r="F267" s="1177">
        <f t="shared" si="42"/>
        <v>0</v>
      </c>
      <c r="G267" s="1177">
        <f t="shared" si="43"/>
        <v>0</v>
      </c>
      <c r="H267" s="1177">
        <f t="shared" si="36"/>
        <v>0</v>
      </c>
      <c r="I267" s="1158">
        <v>0</v>
      </c>
      <c r="J267" s="1158">
        <v>0</v>
      </c>
      <c r="K267" s="1177"/>
      <c r="L267" s="1177"/>
      <c r="M267" s="1177">
        <f t="shared" si="37"/>
        <v>0</v>
      </c>
      <c r="N267" s="1177">
        <f t="shared" si="38"/>
        <v>0</v>
      </c>
    </row>
    <row r="268" spans="1:14" ht="77.5" outlineLevel="1" x14ac:dyDescent="0.25">
      <c r="A268" s="1011">
        <f t="shared" si="48"/>
        <v>5</v>
      </c>
      <c r="B268" s="1169" t="str">
        <f t="shared" si="48"/>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268" s="1162">
        <f t="shared" si="48"/>
        <v>0</v>
      </c>
      <c r="D268" s="1081" t="str">
        <f t="shared" si="48"/>
        <v>-</v>
      </c>
      <c r="E268" s="1163">
        <f t="shared" si="48"/>
        <v>0</v>
      </c>
      <c r="F268" s="1177">
        <f t="shared" si="42"/>
        <v>0</v>
      </c>
      <c r="G268" s="1177">
        <f t="shared" si="43"/>
        <v>0</v>
      </c>
      <c r="H268" s="1177">
        <f t="shared" si="36"/>
        <v>0</v>
      </c>
      <c r="I268" s="1158">
        <v>0</v>
      </c>
      <c r="J268" s="1158">
        <v>0</v>
      </c>
      <c r="K268" s="1177"/>
      <c r="L268" s="1177"/>
      <c r="M268" s="1177">
        <f t="shared" si="37"/>
        <v>0</v>
      </c>
      <c r="N268" s="1177">
        <f t="shared" si="38"/>
        <v>0</v>
      </c>
    </row>
    <row r="269" spans="1:14" ht="15.5" outlineLevel="1" x14ac:dyDescent="0.25">
      <c r="A269" s="1011">
        <f t="shared" si="48"/>
        <v>0</v>
      </c>
      <c r="B269" s="1150" t="str">
        <f t="shared" si="48"/>
        <v>DPR 5</v>
      </c>
      <c r="C269" s="1162">
        <f t="shared" si="48"/>
        <v>0</v>
      </c>
      <c r="D269" s="1081" t="str">
        <f t="shared" si="48"/>
        <v>-</v>
      </c>
      <c r="E269" s="1163">
        <f t="shared" si="48"/>
        <v>0</v>
      </c>
      <c r="F269" s="1177">
        <f t="shared" si="42"/>
        <v>0</v>
      </c>
      <c r="G269" s="1177">
        <f t="shared" si="43"/>
        <v>0</v>
      </c>
      <c r="H269" s="1177">
        <f t="shared" si="36"/>
        <v>0</v>
      </c>
      <c r="I269" s="1158">
        <v>0</v>
      </c>
      <c r="J269" s="1158">
        <v>0</v>
      </c>
      <c r="K269" s="1177"/>
      <c r="L269" s="1177"/>
      <c r="M269" s="1177">
        <f t="shared" si="37"/>
        <v>0</v>
      </c>
      <c r="N269" s="1177">
        <f t="shared" si="38"/>
        <v>0</v>
      </c>
    </row>
    <row r="270" spans="1:14" ht="15.5" outlineLevel="1" x14ac:dyDescent="0.25">
      <c r="A270" s="1011">
        <f t="shared" si="48"/>
        <v>1</v>
      </c>
      <c r="B270" s="1169" t="str">
        <f t="shared" si="48"/>
        <v xml:space="preserve">Upgradation of Insulation class Yeldari HPS                                                       </v>
      </c>
      <c r="C270" s="1162">
        <f t="shared" si="48"/>
        <v>0</v>
      </c>
      <c r="D270" s="1081" t="str">
        <f t="shared" si="48"/>
        <v>-</v>
      </c>
      <c r="E270" s="1163">
        <f t="shared" si="48"/>
        <v>0</v>
      </c>
      <c r="F270" s="1177">
        <f t="shared" si="42"/>
        <v>0</v>
      </c>
      <c r="G270" s="1177">
        <f t="shared" si="43"/>
        <v>0</v>
      </c>
      <c r="H270" s="1177">
        <f t="shared" si="36"/>
        <v>0</v>
      </c>
      <c r="I270" s="1158">
        <v>0</v>
      </c>
      <c r="J270" s="1158">
        <v>0</v>
      </c>
      <c r="K270" s="1177"/>
      <c r="L270" s="1177"/>
      <c r="M270" s="1177">
        <f t="shared" si="37"/>
        <v>0</v>
      </c>
      <c r="N270" s="1177">
        <f t="shared" si="38"/>
        <v>0</v>
      </c>
    </row>
    <row r="271" spans="1:14" ht="77.5" outlineLevel="1" x14ac:dyDescent="0.25">
      <c r="A271" s="1011">
        <f t="shared" si="48"/>
        <v>2</v>
      </c>
      <c r="B271" s="1169" t="str">
        <f t="shared" si="48"/>
        <v xml:space="preserve">Design,Supply ,testing ,erection and commissioing of  with modification of HT power circuit from 66KV to 132 KV by providing 03 Nos GT of 6.6/132 KV capcity 10 MVA with allied compatible aux. equipments  &amp; 01 Aux X`mer  2MVA of 132/11 KV at Yeldari HPS                                                         </v>
      </c>
      <c r="C271" s="1162">
        <f t="shared" si="48"/>
        <v>0</v>
      </c>
      <c r="D271" s="1081" t="str">
        <f t="shared" si="48"/>
        <v>-</v>
      </c>
      <c r="E271" s="1163">
        <f t="shared" si="48"/>
        <v>0</v>
      </c>
      <c r="F271" s="1177">
        <f t="shared" si="42"/>
        <v>0</v>
      </c>
      <c r="G271" s="1177">
        <f t="shared" si="43"/>
        <v>0</v>
      </c>
      <c r="H271" s="1177">
        <f t="shared" si="36"/>
        <v>0</v>
      </c>
      <c r="I271" s="1158">
        <v>0</v>
      </c>
      <c r="J271" s="1158">
        <v>0</v>
      </c>
      <c r="K271" s="1177"/>
      <c r="L271" s="1177"/>
      <c r="M271" s="1177">
        <f t="shared" si="37"/>
        <v>0</v>
      </c>
      <c r="N271" s="1177">
        <f t="shared" si="38"/>
        <v>0</v>
      </c>
    </row>
    <row r="272" spans="1:14" ht="46.5" outlineLevel="1" x14ac:dyDescent="0.25">
      <c r="A272" s="1011">
        <f t="shared" si="48"/>
        <v>3</v>
      </c>
      <c r="B272" s="1169" t="str">
        <f t="shared" si="48"/>
        <v xml:space="preserve">Design,supply ,testing ,erection and commissioing of Automated Co2 fire extinguishers system including supply of Co2 cylinder banks,detectors accessories and associated work at Yeldari HPS                                          </v>
      </c>
      <c r="C272" s="1162">
        <f t="shared" si="48"/>
        <v>0</v>
      </c>
      <c r="D272" s="1081" t="str">
        <f t="shared" si="48"/>
        <v>-</v>
      </c>
      <c r="E272" s="1163">
        <f t="shared" si="48"/>
        <v>0</v>
      </c>
      <c r="F272" s="1177">
        <f t="shared" si="42"/>
        <v>0</v>
      </c>
      <c r="G272" s="1177">
        <f t="shared" si="43"/>
        <v>0</v>
      </c>
      <c r="H272" s="1177">
        <f t="shared" si="36"/>
        <v>0</v>
      </c>
      <c r="I272" s="1158">
        <v>0</v>
      </c>
      <c r="J272" s="1158">
        <v>0</v>
      </c>
      <c r="K272" s="1177"/>
      <c r="L272" s="1177"/>
      <c r="M272" s="1177">
        <f t="shared" si="37"/>
        <v>0</v>
      </c>
      <c r="N272" s="1177">
        <f t="shared" si="38"/>
        <v>0</v>
      </c>
    </row>
    <row r="273" spans="1:14" ht="46.5" outlineLevel="1" x14ac:dyDescent="0.25">
      <c r="A273" s="1011">
        <f t="shared" si="48"/>
        <v>4</v>
      </c>
      <c r="B273" s="1169" t="str">
        <f t="shared" si="48"/>
        <v xml:space="preserve"> Design,supply ,testing ,erection and commissioing of UAT capacity 250 KVA ration 6.6KV/415V with ACDB, DCDB , auto change over system                                </v>
      </c>
      <c r="C273" s="1162">
        <f t="shared" si="48"/>
        <v>0</v>
      </c>
      <c r="D273" s="1081" t="str">
        <f t="shared" si="48"/>
        <v>-</v>
      </c>
      <c r="E273" s="1163">
        <f t="shared" si="48"/>
        <v>0</v>
      </c>
      <c r="F273" s="1177">
        <f t="shared" si="42"/>
        <v>0</v>
      </c>
      <c r="G273" s="1177">
        <f t="shared" si="43"/>
        <v>0</v>
      </c>
      <c r="H273" s="1177">
        <f t="shared" si="36"/>
        <v>0</v>
      </c>
      <c r="I273" s="1158">
        <v>0</v>
      </c>
      <c r="J273" s="1158">
        <v>0</v>
      </c>
      <c r="K273" s="1177"/>
      <c r="L273" s="1177"/>
      <c r="M273" s="1177">
        <f t="shared" si="37"/>
        <v>0</v>
      </c>
      <c r="N273" s="1177">
        <f t="shared" si="38"/>
        <v>0</v>
      </c>
    </row>
    <row r="274" spans="1:14" ht="31" outlineLevel="1" x14ac:dyDescent="0.25">
      <c r="A274" s="1011">
        <f t="shared" si="48"/>
        <v>5</v>
      </c>
      <c r="B274" s="1169" t="str">
        <f t="shared" si="48"/>
        <v xml:space="preserve">Design,supply ,testing ,erection and commissioing of  Power cables for GT and control cables at Yeldari HPS                                            </v>
      </c>
      <c r="C274" s="1162">
        <f t="shared" si="48"/>
        <v>0</v>
      </c>
      <c r="D274" s="1081" t="str">
        <f t="shared" si="48"/>
        <v>-</v>
      </c>
      <c r="E274" s="1163">
        <f t="shared" si="48"/>
        <v>0</v>
      </c>
      <c r="F274" s="1177">
        <f t="shared" si="42"/>
        <v>0</v>
      </c>
      <c r="G274" s="1177">
        <f t="shared" si="43"/>
        <v>0</v>
      </c>
      <c r="H274" s="1177">
        <f t="shared" si="36"/>
        <v>0</v>
      </c>
      <c r="I274" s="1158">
        <v>0</v>
      </c>
      <c r="J274" s="1158">
        <v>0</v>
      </c>
      <c r="K274" s="1177"/>
      <c r="L274" s="1177"/>
      <c r="M274" s="1177">
        <f t="shared" si="37"/>
        <v>0</v>
      </c>
      <c r="N274" s="1177">
        <f t="shared" si="38"/>
        <v>0</v>
      </c>
    </row>
    <row r="275" spans="1:14" ht="31" outlineLevel="1" x14ac:dyDescent="0.25">
      <c r="A275" s="1011">
        <f t="shared" si="48"/>
        <v>6</v>
      </c>
      <c r="B275" s="1169" t="str">
        <f t="shared" si="48"/>
        <v xml:space="preserve">Design,supply ,testing ,erection and commissioing of  Power cables for GT and control cables at Yeldari HPS                                              </v>
      </c>
      <c r="C275" s="1162">
        <f t="shared" si="48"/>
        <v>0</v>
      </c>
      <c r="D275" s="1081" t="str">
        <f t="shared" si="48"/>
        <v>-</v>
      </c>
      <c r="E275" s="1163">
        <f t="shared" si="48"/>
        <v>0</v>
      </c>
      <c r="F275" s="1177">
        <f t="shared" si="42"/>
        <v>0</v>
      </c>
      <c r="G275" s="1177">
        <f t="shared" si="43"/>
        <v>0</v>
      </c>
      <c r="H275" s="1177">
        <f t="shared" si="36"/>
        <v>0</v>
      </c>
      <c r="I275" s="1158">
        <v>0</v>
      </c>
      <c r="J275" s="1158">
        <v>0</v>
      </c>
      <c r="K275" s="1177"/>
      <c r="L275" s="1177"/>
      <c r="M275" s="1177">
        <f t="shared" si="37"/>
        <v>0</v>
      </c>
      <c r="N275" s="1177">
        <f t="shared" si="38"/>
        <v>0</v>
      </c>
    </row>
    <row r="276" spans="1:14" ht="15.5" outlineLevel="1" x14ac:dyDescent="0.25">
      <c r="A276" s="1168">
        <f t="shared" si="48"/>
        <v>0</v>
      </c>
      <c r="B276" s="1172" t="str">
        <f t="shared" si="48"/>
        <v>DPR 6(CIVIL)</v>
      </c>
      <c r="C276" s="1162">
        <f t="shared" si="48"/>
        <v>0</v>
      </c>
      <c r="D276" s="1081" t="str">
        <f t="shared" si="48"/>
        <v>-</v>
      </c>
      <c r="E276" s="1163">
        <f t="shared" si="48"/>
        <v>0</v>
      </c>
      <c r="F276" s="1177">
        <f t="shared" si="42"/>
        <v>0</v>
      </c>
      <c r="G276" s="1177">
        <f t="shared" si="43"/>
        <v>0</v>
      </c>
      <c r="H276" s="1177">
        <f t="shared" si="36"/>
        <v>0</v>
      </c>
      <c r="I276" s="1158">
        <v>0</v>
      </c>
      <c r="J276" s="1158">
        <v>0</v>
      </c>
      <c r="K276" s="1177"/>
      <c r="L276" s="1177"/>
      <c r="M276" s="1177">
        <f t="shared" si="37"/>
        <v>0</v>
      </c>
      <c r="N276" s="1177">
        <f t="shared" si="38"/>
        <v>0</v>
      </c>
    </row>
    <row r="277" spans="1:14" ht="15.5" outlineLevel="1" x14ac:dyDescent="0.25">
      <c r="A277" s="1011">
        <f t="shared" si="48"/>
        <v>1</v>
      </c>
      <c r="B277" s="1169" t="str">
        <f t="shared" si="48"/>
        <v>Package shade roof change at Ghatghar HPS</v>
      </c>
      <c r="C277" s="1162">
        <f t="shared" si="48"/>
        <v>0</v>
      </c>
      <c r="D277" s="1081" t="str">
        <f t="shared" si="48"/>
        <v>-</v>
      </c>
      <c r="E277" s="1163">
        <f t="shared" si="48"/>
        <v>0</v>
      </c>
      <c r="F277" s="1177">
        <f t="shared" si="42"/>
        <v>0</v>
      </c>
      <c r="G277" s="1177">
        <f t="shared" si="43"/>
        <v>0</v>
      </c>
      <c r="H277" s="1177">
        <f t="shared" si="36"/>
        <v>0</v>
      </c>
      <c r="I277" s="1158">
        <v>0</v>
      </c>
      <c r="J277" s="1158">
        <v>0</v>
      </c>
      <c r="K277" s="1177"/>
      <c r="L277" s="1177"/>
      <c r="M277" s="1177">
        <f t="shared" si="37"/>
        <v>0</v>
      </c>
      <c r="N277" s="1177">
        <f t="shared" si="38"/>
        <v>0</v>
      </c>
    </row>
    <row r="278" spans="1:14" ht="15.5" outlineLevel="1" x14ac:dyDescent="0.25">
      <c r="A278" s="1011">
        <f t="shared" si="48"/>
        <v>2</v>
      </c>
      <c r="B278" s="1169" t="str">
        <f t="shared" si="48"/>
        <v>PROCUREMENT OF MOBILE RACKS FOR STORES atGhatghar HPS</v>
      </c>
      <c r="C278" s="1162">
        <f t="shared" si="48"/>
        <v>0</v>
      </c>
      <c r="D278" s="1081" t="str">
        <f t="shared" si="48"/>
        <v>-</v>
      </c>
      <c r="E278" s="1163">
        <f t="shared" si="48"/>
        <v>0</v>
      </c>
      <c r="F278" s="1177">
        <f t="shared" si="42"/>
        <v>0</v>
      </c>
      <c r="G278" s="1177">
        <f t="shared" si="43"/>
        <v>0</v>
      </c>
      <c r="H278" s="1177">
        <f t="shared" si="36"/>
        <v>0</v>
      </c>
      <c r="I278" s="1158">
        <v>0</v>
      </c>
      <c r="J278" s="1158">
        <v>0</v>
      </c>
      <c r="K278" s="1177"/>
      <c r="L278" s="1177"/>
      <c r="M278" s="1177">
        <f t="shared" si="37"/>
        <v>0</v>
      </c>
      <c r="N278" s="1177">
        <f t="shared" si="38"/>
        <v>0</v>
      </c>
    </row>
    <row r="279" spans="1:14" ht="31" outlineLevel="1" x14ac:dyDescent="0.25">
      <c r="A279" s="1011">
        <f t="shared" ref="A279:E294" si="49">A181</f>
        <v>3</v>
      </c>
      <c r="B279" s="1169" t="str">
        <f t="shared" si="49"/>
        <v>Wall compound Rising of height and Wire fence on wall at package shade  at Ghatghar HPS</v>
      </c>
      <c r="C279" s="1162">
        <f t="shared" si="49"/>
        <v>0</v>
      </c>
      <c r="D279" s="1081" t="str">
        <f t="shared" si="49"/>
        <v>-</v>
      </c>
      <c r="E279" s="1163">
        <f t="shared" si="49"/>
        <v>0</v>
      </c>
      <c r="F279" s="1177">
        <f t="shared" ref="F279:F293" si="50">F181+I181</f>
        <v>0</v>
      </c>
      <c r="G279" s="1177">
        <f t="shared" ref="G279:G293" si="51">G181+M181</f>
        <v>0</v>
      </c>
      <c r="H279" s="1177">
        <f t="shared" si="36"/>
        <v>0</v>
      </c>
      <c r="I279" s="1158">
        <v>0</v>
      </c>
      <c r="J279" s="1158">
        <v>0</v>
      </c>
      <c r="K279" s="1177"/>
      <c r="L279" s="1177"/>
      <c r="M279" s="1177">
        <f t="shared" si="37"/>
        <v>0</v>
      </c>
      <c r="N279" s="1177">
        <f t="shared" si="38"/>
        <v>0</v>
      </c>
    </row>
    <row r="280" spans="1:14" ht="15.5" outlineLevel="1" x14ac:dyDescent="0.25">
      <c r="A280" s="1011">
        <f t="shared" si="49"/>
        <v>4</v>
      </c>
      <c r="B280" s="1169" t="str">
        <f t="shared" si="49"/>
        <v>Wall compound colony UCR at Ghatghar HPS</v>
      </c>
      <c r="C280" s="1162">
        <f t="shared" si="49"/>
        <v>0</v>
      </c>
      <c r="D280" s="1081" t="str">
        <f t="shared" si="49"/>
        <v>-</v>
      </c>
      <c r="E280" s="1163">
        <f t="shared" si="49"/>
        <v>0</v>
      </c>
      <c r="F280" s="1177">
        <f t="shared" si="50"/>
        <v>0</v>
      </c>
      <c r="G280" s="1177">
        <f t="shared" si="51"/>
        <v>0</v>
      </c>
      <c r="H280" s="1177">
        <f t="shared" si="36"/>
        <v>0</v>
      </c>
      <c r="I280" s="1158">
        <v>0</v>
      </c>
      <c r="J280" s="1158">
        <v>0</v>
      </c>
      <c r="K280" s="1177"/>
      <c r="L280" s="1177"/>
      <c r="M280" s="1177">
        <f t="shared" si="37"/>
        <v>0</v>
      </c>
      <c r="N280" s="1177">
        <f t="shared" si="38"/>
        <v>0</v>
      </c>
    </row>
    <row r="281" spans="1:14" ht="15.5" outlineLevel="1" x14ac:dyDescent="0.25">
      <c r="A281" s="1011">
        <f t="shared" si="49"/>
        <v>5</v>
      </c>
      <c r="B281" s="1169" t="str">
        <f t="shared" si="49"/>
        <v>Colony and office Road asphalting at Ghatghar HPS</v>
      </c>
      <c r="C281" s="1162">
        <f t="shared" si="49"/>
        <v>0</v>
      </c>
      <c r="D281" s="1081" t="str">
        <f t="shared" si="49"/>
        <v>-</v>
      </c>
      <c r="E281" s="1163">
        <f t="shared" si="49"/>
        <v>0</v>
      </c>
      <c r="F281" s="1177">
        <f t="shared" si="50"/>
        <v>0</v>
      </c>
      <c r="G281" s="1177">
        <f t="shared" si="51"/>
        <v>0</v>
      </c>
      <c r="H281" s="1177">
        <f t="shared" si="36"/>
        <v>0</v>
      </c>
      <c r="I281" s="1158">
        <v>0</v>
      </c>
      <c r="J281" s="1158">
        <v>0</v>
      </c>
      <c r="K281" s="1177"/>
      <c r="L281" s="1177"/>
      <c r="M281" s="1177">
        <f t="shared" si="37"/>
        <v>0</v>
      </c>
      <c r="N281" s="1177">
        <f t="shared" si="38"/>
        <v>0</v>
      </c>
    </row>
    <row r="282" spans="1:14" ht="15.5" outlineLevel="1" x14ac:dyDescent="0.25">
      <c r="A282" s="1011">
        <f t="shared" si="49"/>
        <v>6</v>
      </c>
      <c r="B282" s="1169" t="str">
        <f t="shared" si="49"/>
        <v xml:space="preserve"> Road colony to power house at Ghatghar HPS</v>
      </c>
      <c r="C282" s="1162">
        <f t="shared" si="49"/>
        <v>0</v>
      </c>
      <c r="D282" s="1081" t="str">
        <f t="shared" si="49"/>
        <v>-</v>
      </c>
      <c r="E282" s="1163">
        <f t="shared" si="49"/>
        <v>0</v>
      </c>
      <c r="F282" s="1177">
        <f t="shared" si="50"/>
        <v>0</v>
      </c>
      <c r="G282" s="1177">
        <f t="shared" si="51"/>
        <v>0</v>
      </c>
      <c r="H282" s="1177">
        <f t="shared" si="36"/>
        <v>0</v>
      </c>
      <c r="I282" s="1158">
        <v>0</v>
      </c>
      <c r="J282" s="1158">
        <v>0</v>
      </c>
      <c r="K282" s="1177"/>
      <c r="L282" s="1177"/>
      <c r="M282" s="1177">
        <f t="shared" si="37"/>
        <v>0</v>
      </c>
      <c r="N282" s="1177">
        <f t="shared" si="38"/>
        <v>0</v>
      </c>
    </row>
    <row r="283" spans="1:14" ht="15.5" outlineLevel="1" x14ac:dyDescent="0.25">
      <c r="A283" s="1168">
        <f t="shared" si="49"/>
        <v>0</v>
      </c>
      <c r="B283" s="1013">
        <f t="shared" si="49"/>
        <v>0</v>
      </c>
      <c r="C283" s="1162">
        <f t="shared" si="49"/>
        <v>0</v>
      </c>
      <c r="D283" s="1081" t="str">
        <f t="shared" si="49"/>
        <v>-</v>
      </c>
      <c r="E283" s="1163">
        <f t="shared" si="49"/>
        <v>0</v>
      </c>
      <c r="F283" s="1177">
        <f t="shared" si="50"/>
        <v>0</v>
      </c>
      <c r="G283" s="1177">
        <f t="shared" si="51"/>
        <v>0</v>
      </c>
      <c r="H283" s="1177">
        <f t="shared" si="36"/>
        <v>0</v>
      </c>
      <c r="I283" s="1158">
        <v>0</v>
      </c>
      <c r="J283" s="1158">
        <v>0</v>
      </c>
      <c r="K283" s="1177"/>
      <c r="L283" s="1177"/>
      <c r="M283" s="1177">
        <f t="shared" si="37"/>
        <v>0</v>
      </c>
      <c r="N283" s="1177">
        <f t="shared" si="38"/>
        <v>0</v>
      </c>
    </row>
    <row r="284" spans="1:14" ht="15.5" outlineLevel="1" x14ac:dyDescent="0.25">
      <c r="A284" s="1168">
        <f t="shared" si="49"/>
        <v>0</v>
      </c>
      <c r="B284" s="1150" t="str">
        <f t="shared" si="49"/>
        <v>(ii) Yet to be submitted to MERC(F Y 2027-28)</v>
      </c>
      <c r="C284" s="1162">
        <f t="shared" si="49"/>
        <v>0</v>
      </c>
      <c r="D284" s="1081" t="str">
        <f t="shared" si="49"/>
        <v>-</v>
      </c>
      <c r="E284" s="1163">
        <f t="shared" si="49"/>
        <v>0</v>
      </c>
      <c r="F284" s="1177">
        <f t="shared" si="50"/>
        <v>0</v>
      </c>
      <c r="G284" s="1177">
        <f t="shared" si="51"/>
        <v>0</v>
      </c>
      <c r="H284" s="1177">
        <f t="shared" si="36"/>
        <v>0</v>
      </c>
      <c r="I284" s="1158">
        <v>0</v>
      </c>
      <c r="J284" s="1158">
        <v>0</v>
      </c>
      <c r="K284" s="1177"/>
      <c r="L284" s="1177"/>
      <c r="M284" s="1177">
        <f t="shared" si="37"/>
        <v>0</v>
      </c>
      <c r="N284" s="1177">
        <f t="shared" si="38"/>
        <v>0</v>
      </c>
    </row>
    <row r="285" spans="1:14" ht="15.5" outlineLevel="1" x14ac:dyDescent="0.25">
      <c r="A285" s="1168">
        <f t="shared" si="49"/>
        <v>0</v>
      </c>
      <c r="B285" s="1150" t="str">
        <f t="shared" si="49"/>
        <v>DPR 7</v>
      </c>
      <c r="C285" s="1162">
        <f t="shared" si="49"/>
        <v>0</v>
      </c>
      <c r="D285" s="1081" t="str">
        <f t="shared" si="49"/>
        <v>-</v>
      </c>
      <c r="E285" s="1163">
        <f t="shared" si="49"/>
        <v>0</v>
      </c>
      <c r="F285" s="1177">
        <f t="shared" si="50"/>
        <v>0</v>
      </c>
      <c r="G285" s="1177">
        <f t="shared" si="51"/>
        <v>0</v>
      </c>
      <c r="H285" s="1177">
        <f t="shared" si="36"/>
        <v>0</v>
      </c>
      <c r="I285" s="1158">
        <v>0</v>
      </c>
      <c r="J285" s="1158">
        <v>0</v>
      </c>
      <c r="K285" s="1177"/>
      <c r="L285" s="1177"/>
      <c r="M285" s="1177">
        <f t="shared" si="37"/>
        <v>0</v>
      </c>
      <c r="N285" s="1177">
        <f t="shared" si="38"/>
        <v>0</v>
      </c>
    </row>
    <row r="286" spans="1:14" ht="15.5" outlineLevel="1" x14ac:dyDescent="0.25">
      <c r="A286" s="1011">
        <f t="shared" si="49"/>
        <v>1</v>
      </c>
      <c r="B286" s="1169" t="str">
        <f t="shared" si="49"/>
        <v>UPGRADATION OF SFC &amp; DDC PANEL at Ghatghar HPS</v>
      </c>
      <c r="C286" s="1162">
        <f t="shared" si="49"/>
        <v>0</v>
      </c>
      <c r="D286" s="1081" t="str">
        <f t="shared" si="49"/>
        <v>-</v>
      </c>
      <c r="E286" s="1163">
        <f t="shared" si="49"/>
        <v>0</v>
      </c>
      <c r="F286" s="1177">
        <f t="shared" si="50"/>
        <v>0</v>
      </c>
      <c r="G286" s="1177">
        <f t="shared" si="51"/>
        <v>0</v>
      </c>
      <c r="H286" s="1177">
        <f t="shared" si="36"/>
        <v>0</v>
      </c>
      <c r="I286" s="1158">
        <v>0</v>
      </c>
      <c r="J286" s="1158">
        <v>0</v>
      </c>
      <c r="K286" s="1177"/>
      <c r="L286" s="1177"/>
      <c r="M286" s="1177">
        <f t="shared" si="37"/>
        <v>0</v>
      </c>
      <c r="N286" s="1177">
        <f t="shared" si="38"/>
        <v>0</v>
      </c>
    </row>
    <row r="287" spans="1:14" ht="15.5" outlineLevel="1" x14ac:dyDescent="0.25">
      <c r="A287" s="1011">
        <f t="shared" si="49"/>
        <v>2</v>
      </c>
      <c r="B287" s="1169" t="str">
        <f t="shared" si="49"/>
        <v>BATTERY CHARGER PROCUREMENT at Ghatghar HPS</v>
      </c>
      <c r="C287" s="1162">
        <f t="shared" si="49"/>
        <v>0</v>
      </c>
      <c r="D287" s="1081" t="str">
        <f t="shared" si="49"/>
        <v>-</v>
      </c>
      <c r="E287" s="1163">
        <f t="shared" si="49"/>
        <v>0</v>
      </c>
      <c r="F287" s="1177">
        <f t="shared" si="50"/>
        <v>0</v>
      </c>
      <c r="G287" s="1177">
        <f t="shared" si="51"/>
        <v>0</v>
      </c>
      <c r="H287" s="1177">
        <f t="shared" si="36"/>
        <v>0</v>
      </c>
      <c r="I287" s="1158">
        <v>0</v>
      </c>
      <c r="J287" s="1158">
        <v>0</v>
      </c>
      <c r="K287" s="1177"/>
      <c r="L287" s="1177"/>
      <c r="M287" s="1177">
        <f t="shared" si="37"/>
        <v>0</v>
      </c>
      <c r="N287" s="1177">
        <f t="shared" si="38"/>
        <v>0</v>
      </c>
    </row>
    <row r="288" spans="1:14" ht="15.5" outlineLevel="1" x14ac:dyDescent="0.25">
      <c r="A288" s="1011">
        <f t="shared" si="49"/>
        <v>3</v>
      </c>
      <c r="B288" s="1169" t="str">
        <f t="shared" si="49"/>
        <v xml:space="preserve"> PHASE REVERSAL SWITCH PROCUREMENT at Ghatghar HPS</v>
      </c>
      <c r="C288" s="1162">
        <f t="shared" si="49"/>
        <v>0</v>
      </c>
      <c r="D288" s="1081" t="str">
        <f t="shared" si="49"/>
        <v>-</v>
      </c>
      <c r="E288" s="1163">
        <f t="shared" si="49"/>
        <v>0</v>
      </c>
      <c r="F288" s="1177">
        <f t="shared" si="50"/>
        <v>0</v>
      </c>
      <c r="G288" s="1177">
        <f t="shared" si="51"/>
        <v>0</v>
      </c>
      <c r="H288" s="1177">
        <f t="shared" si="36"/>
        <v>0</v>
      </c>
      <c r="I288" s="1158">
        <v>0</v>
      </c>
      <c r="J288" s="1158">
        <v>0</v>
      </c>
      <c r="K288" s="1177"/>
      <c r="L288" s="1177"/>
      <c r="M288" s="1177">
        <f t="shared" si="37"/>
        <v>0</v>
      </c>
      <c r="N288" s="1177">
        <f t="shared" si="38"/>
        <v>0</v>
      </c>
    </row>
    <row r="289" spans="1:16" ht="15.5" outlineLevel="1" x14ac:dyDescent="0.25">
      <c r="A289" s="1011">
        <f t="shared" si="49"/>
        <v>4</v>
      </c>
      <c r="B289" s="1169" t="str">
        <f t="shared" si="49"/>
        <v xml:space="preserve"> PROCUREMENT OF SPARES FOR 220kV GIS at Ghatghar HPS</v>
      </c>
      <c r="C289" s="1162">
        <f t="shared" si="49"/>
        <v>0</v>
      </c>
      <c r="D289" s="1081" t="str">
        <f t="shared" si="49"/>
        <v>-</v>
      </c>
      <c r="E289" s="1163">
        <f t="shared" si="49"/>
        <v>0</v>
      </c>
      <c r="F289" s="1177">
        <f t="shared" si="50"/>
        <v>0</v>
      </c>
      <c r="G289" s="1177">
        <f t="shared" si="51"/>
        <v>0</v>
      </c>
      <c r="H289" s="1177">
        <f t="shared" si="36"/>
        <v>0</v>
      </c>
      <c r="I289" s="1158">
        <v>0</v>
      </c>
      <c r="J289" s="1158">
        <v>0</v>
      </c>
      <c r="K289" s="1177"/>
      <c r="L289" s="1177"/>
      <c r="M289" s="1177">
        <f t="shared" si="37"/>
        <v>0</v>
      </c>
      <c r="N289" s="1177">
        <f t="shared" si="38"/>
        <v>0</v>
      </c>
    </row>
    <row r="290" spans="1:16" ht="15.5" outlineLevel="1" x14ac:dyDescent="0.25">
      <c r="A290" s="1011">
        <f t="shared" si="49"/>
        <v>5</v>
      </c>
      <c r="B290" s="1169" t="str">
        <f t="shared" si="49"/>
        <v xml:space="preserve"> PROCUREMENT OF RBDV at Ghatghar HPS</v>
      </c>
      <c r="C290" s="1162">
        <f t="shared" si="49"/>
        <v>0</v>
      </c>
      <c r="D290" s="1081" t="str">
        <f t="shared" si="49"/>
        <v>-</v>
      </c>
      <c r="E290" s="1163">
        <f t="shared" si="49"/>
        <v>0</v>
      </c>
      <c r="F290" s="1177">
        <f t="shared" si="50"/>
        <v>0</v>
      </c>
      <c r="G290" s="1177">
        <f t="shared" si="51"/>
        <v>0</v>
      </c>
      <c r="H290" s="1177">
        <f t="shared" si="36"/>
        <v>0</v>
      </c>
      <c r="I290" s="1158">
        <v>0</v>
      </c>
      <c r="J290" s="1158">
        <v>0</v>
      </c>
      <c r="K290" s="1177"/>
      <c r="L290" s="1177"/>
      <c r="M290" s="1177">
        <f t="shared" si="37"/>
        <v>0</v>
      </c>
      <c r="N290" s="1177">
        <f t="shared" si="38"/>
        <v>0</v>
      </c>
    </row>
    <row r="291" spans="1:16" ht="15.5" outlineLevel="1" x14ac:dyDescent="0.25">
      <c r="A291" s="1044">
        <f t="shared" si="49"/>
        <v>0</v>
      </c>
      <c r="B291" s="1040">
        <f t="shared" si="49"/>
        <v>0</v>
      </c>
      <c r="C291" s="1162">
        <f t="shared" si="49"/>
        <v>0</v>
      </c>
      <c r="D291" s="1081" t="str">
        <f t="shared" si="49"/>
        <v>-</v>
      </c>
      <c r="E291" s="1163">
        <f t="shared" si="49"/>
        <v>0</v>
      </c>
      <c r="F291" s="1177">
        <f t="shared" si="50"/>
        <v>0</v>
      </c>
      <c r="G291" s="1177">
        <f t="shared" si="51"/>
        <v>0</v>
      </c>
      <c r="H291" s="1177">
        <f t="shared" si="36"/>
        <v>0</v>
      </c>
      <c r="I291" s="1158">
        <v>0</v>
      </c>
      <c r="J291" s="1158">
        <v>0</v>
      </c>
      <c r="K291" s="1177"/>
      <c r="L291" s="1177"/>
      <c r="M291" s="1177">
        <f t="shared" si="37"/>
        <v>0</v>
      </c>
      <c r="N291" s="1177">
        <f t="shared" si="38"/>
        <v>0</v>
      </c>
    </row>
    <row r="292" spans="1:16" ht="15.5" outlineLevel="1" x14ac:dyDescent="0.25">
      <c r="A292" s="1168">
        <f t="shared" si="49"/>
        <v>0</v>
      </c>
      <c r="B292" s="1172" t="str">
        <f t="shared" si="49"/>
        <v>DPR 8</v>
      </c>
      <c r="C292" s="1162">
        <f t="shared" si="49"/>
        <v>0</v>
      </c>
      <c r="D292" s="1081" t="str">
        <f t="shared" si="49"/>
        <v>-</v>
      </c>
      <c r="E292" s="1163">
        <f t="shared" si="49"/>
        <v>0</v>
      </c>
      <c r="F292" s="1177">
        <f t="shared" si="50"/>
        <v>0</v>
      </c>
      <c r="G292" s="1177">
        <f t="shared" si="51"/>
        <v>0</v>
      </c>
      <c r="H292" s="1177">
        <f t="shared" si="36"/>
        <v>0</v>
      </c>
      <c r="I292" s="1158">
        <v>0</v>
      </c>
      <c r="J292" s="1158">
        <v>0</v>
      </c>
      <c r="K292" s="1177"/>
      <c r="L292" s="1177"/>
      <c r="M292" s="1177">
        <f t="shared" si="37"/>
        <v>0</v>
      </c>
      <c r="N292" s="1177">
        <f t="shared" si="38"/>
        <v>0</v>
      </c>
    </row>
    <row r="293" spans="1:16" ht="46.5" outlineLevel="1" x14ac:dyDescent="0.25">
      <c r="A293" s="1011">
        <f t="shared" si="49"/>
        <v>1</v>
      </c>
      <c r="B293" s="1169" t="str">
        <f t="shared" si="49"/>
        <v xml:space="preserve">Comprehensive work of Renovation, Modification, Design, Manufacture, Supply, Erection, Testing &amp; Commissioning of new Generator  on single point responsibility at 60 MW Vaitarna HPS.                          </v>
      </c>
      <c r="C293" s="1162">
        <f t="shared" si="49"/>
        <v>0</v>
      </c>
      <c r="D293" s="1081" t="str">
        <f t="shared" si="49"/>
        <v>-</v>
      </c>
      <c r="E293" s="1163">
        <f t="shared" si="49"/>
        <v>0</v>
      </c>
      <c r="F293" s="1177">
        <f t="shared" si="50"/>
        <v>0</v>
      </c>
      <c r="G293" s="1177">
        <f t="shared" si="51"/>
        <v>0</v>
      </c>
      <c r="H293" s="1177">
        <f t="shared" si="36"/>
        <v>0</v>
      </c>
      <c r="I293" s="1158">
        <v>0</v>
      </c>
      <c r="J293" s="1158">
        <v>0</v>
      </c>
      <c r="K293" s="1177"/>
      <c r="L293" s="1177"/>
      <c r="M293" s="1177">
        <f t="shared" si="37"/>
        <v>0</v>
      </c>
      <c r="N293" s="1177">
        <f t="shared" si="38"/>
        <v>0</v>
      </c>
    </row>
    <row r="294" spans="1:16" ht="15.5" outlineLevel="1" x14ac:dyDescent="0.25">
      <c r="A294" s="1011">
        <f t="shared" si="49"/>
        <v>0</v>
      </c>
      <c r="B294" s="1012" t="str">
        <f t="shared" si="49"/>
        <v>B) Non-DPR Schemes</v>
      </c>
      <c r="C294" s="1162">
        <f t="shared" si="49"/>
        <v>0</v>
      </c>
      <c r="D294" s="1081" t="str">
        <f t="shared" si="49"/>
        <v>-</v>
      </c>
      <c r="E294" s="1163">
        <f t="shared" si="49"/>
        <v>0</v>
      </c>
      <c r="F294" s="1177">
        <f>F196+I196</f>
        <v>0</v>
      </c>
      <c r="G294" s="1177">
        <f>G196+M196</f>
        <v>0</v>
      </c>
      <c r="H294" s="1177">
        <f t="shared" si="36"/>
        <v>0</v>
      </c>
      <c r="I294" s="1158">
        <v>0</v>
      </c>
      <c r="J294" s="1158">
        <v>0</v>
      </c>
      <c r="K294" s="1177"/>
      <c r="L294" s="1177"/>
      <c r="M294" s="1177">
        <f t="shared" si="37"/>
        <v>0</v>
      </c>
      <c r="N294" s="1177">
        <f t="shared" si="38"/>
        <v>0</v>
      </c>
    </row>
    <row r="295" spans="1:16" ht="15.5" outlineLevel="1" x14ac:dyDescent="0.25">
      <c r="A295" s="1160">
        <f t="shared" ref="A295:E298" si="52">A197</f>
        <v>1</v>
      </c>
      <c r="B295" s="1035" t="str">
        <f t="shared" si="52"/>
        <v>Office Equipment</v>
      </c>
      <c r="C295" s="1162">
        <f t="shared" si="52"/>
        <v>0</v>
      </c>
      <c r="D295" s="1081" t="str">
        <f t="shared" si="52"/>
        <v>-</v>
      </c>
      <c r="E295" s="1163">
        <f t="shared" si="52"/>
        <v>0</v>
      </c>
      <c r="F295" s="1177">
        <f>F197+I197</f>
        <v>0.66373825499999994</v>
      </c>
      <c r="G295" s="1177">
        <f>G197+M197</f>
        <v>0.70044345600000002</v>
      </c>
      <c r="H295" s="1177">
        <f t="shared" si="36"/>
        <v>-3.6705201000000076E-2</v>
      </c>
      <c r="I295" s="1158">
        <v>0</v>
      </c>
      <c r="J295" s="1158">
        <v>0</v>
      </c>
      <c r="K295" s="1177"/>
      <c r="L295" s="1177"/>
      <c r="M295" s="1177">
        <f t="shared" si="37"/>
        <v>0</v>
      </c>
      <c r="N295" s="1177">
        <f t="shared" si="38"/>
        <v>-3.6705201000000076E-2</v>
      </c>
    </row>
    <row r="296" spans="1:16" ht="15.5" outlineLevel="1" x14ac:dyDescent="0.25">
      <c r="A296" s="1160">
        <f t="shared" si="52"/>
        <v>2</v>
      </c>
      <c r="B296" s="1034" t="str">
        <f t="shared" si="52"/>
        <v>Furniture &amp; Fixtures</v>
      </c>
      <c r="C296" s="1162">
        <f t="shared" si="52"/>
        <v>0</v>
      </c>
      <c r="D296" s="1081" t="str">
        <f t="shared" si="52"/>
        <v>-</v>
      </c>
      <c r="E296" s="1163">
        <f t="shared" si="52"/>
        <v>0</v>
      </c>
      <c r="F296" s="1177">
        <f>F198+I198</f>
        <v>3.5748099999999998E-2</v>
      </c>
      <c r="G296" s="1177">
        <f>G198+M198</f>
        <v>3.5748099999999998E-2</v>
      </c>
      <c r="H296" s="1177">
        <f t="shared" si="36"/>
        <v>0</v>
      </c>
      <c r="I296" s="1158">
        <v>0</v>
      </c>
      <c r="J296" s="1158">
        <v>0</v>
      </c>
      <c r="K296" s="1177"/>
      <c r="L296" s="1177"/>
      <c r="M296" s="1177">
        <f t="shared" si="37"/>
        <v>0</v>
      </c>
      <c r="N296" s="1177">
        <f t="shared" si="38"/>
        <v>0</v>
      </c>
    </row>
    <row r="297" spans="1:16" ht="62" outlineLevel="1" x14ac:dyDescent="0.25">
      <c r="A297" s="1160">
        <f t="shared" si="52"/>
        <v>3</v>
      </c>
      <c r="B297" s="1169" t="str">
        <f t="shared" si="52"/>
        <v xml:space="preserve">Replacement of existing 300AH/220VDC &amp; 200AH/220VDC Battery Set with new Lead acid Tubular Battery Set along with Design, manufacture, supply, installation, commissioning &amp; testing at Yeldari &amp; Paithan HPS </v>
      </c>
      <c r="C297" s="1162">
        <f t="shared" si="52"/>
        <v>0</v>
      </c>
      <c r="D297" s="1081" t="str">
        <f t="shared" si="52"/>
        <v>-</v>
      </c>
      <c r="E297" s="1163">
        <f t="shared" si="52"/>
        <v>0</v>
      </c>
      <c r="F297" s="1177">
        <f>F199+I199</f>
        <v>0.22830016</v>
      </c>
      <c r="G297" s="1177">
        <f>G199+M199</f>
        <v>0.22830016</v>
      </c>
      <c r="H297" s="1177">
        <f t="shared" si="36"/>
        <v>0</v>
      </c>
      <c r="I297" s="1158">
        <v>0</v>
      </c>
      <c r="J297" s="1158">
        <v>0</v>
      </c>
      <c r="K297" s="1177"/>
      <c r="L297" s="1177"/>
      <c r="M297" s="1177">
        <f t="shared" si="37"/>
        <v>0</v>
      </c>
      <c r="N297" s="1177">
        <f t="shared" si="38"/>
        <v>0</v>
      </c>
    </row>
    <row r="298" spans="1:16" ht="16" outlineLevel="1" thickBot="1" x14ac:dyDescent="0.3">
      <c r="A298" s="1160">
        <f t="shared" si="52"/>
        <v>4</v>
      </c>
      <c r="B298" s="1169" t="str">
        <f t="shared" si="52"/>
        <v>Vehicle (Fire Tender )</v>
      </c>
      <c r="C298" s="1162">
        <f t="shared" si="52"/>
        <v>0</v>
      </c>
      <c r="D298" s="1081" t="str">
        <f t="shared" si="52"/>
        <v>-</v>
      </c>
      <c r="E298" s="1163">
        <f t="shared" si="52"/>
        <v>0</v>
      </c>
      <c r="F298" s="1177">
        <f>F200+I200</f>
        <v>4.0077621479999994</v>
      </c>
      <c r="G298" s="1177">
        <f>G200+M200</f>
        <v>4.0077621479999994</v>
      </c>
      <c r="H298" s="1177">
        <f t="shared" si="36"/>
        <v>0</v>
      </c>
      <c r="I298" s="1158">
        <v>0</v>
      </c>
      <c r="J298" s="1158">
        <v>0</v>
      </c>
      <c r="K298" s="1177"/>
      <c r="L298" s="1177"/>
      <c r="M298" s="1177">
        <f t="shared" si="37"/>
        <v>0</v>
      </c>
      <c r="N298" s="1177">
        <f t="shared" si="38"/>
        <v>0</v>
      </c>
    </row>
    <row r="299" spans="1:16" ht="15" thickBot="1" x14ac:dyDescent="0.3">
      <c r="A299" s="1080"/>
      <c r="B299" s="1079" t="str">
        <f>B201</f>
        <v>Total</v>
      </c>
      <c r="C299" s="1078"/>
      <c r="D299" s="1077"/>
      <c r="E299" s="1173"/>
      <c r="F299" s="1174">
        <f t="shared" ref="F299:N299" si="53">SUM(F206:F298)</f>
        <v>16.314761084999994</v>
      </c>
      <c r="G299" s="1174">
        <f t="shared" si="53"/>
        <v>16.948160166999998</v>
      </c>
      <c r="H299" s="1174">
        <f t="shared" si="53"/>
        <v>-0.63339908200000072</v>
      </c>
      <c r="I299" s="1174">
        <f t="shared" si="53"/>
        <v>45.164850000000001</v>
      </c>
      <c r="J299" s="1174">
        <f t="shared" si="53"/>
        <v>45.164850000000001</v>
      </c>
      <c r="K299" s="1174">
        <f t="shared" si="53"/>
        <v>0</v>
      </c>
      <c r="L299" s="1174">
        <f t="shared" si="53"/>
        <v>0</v>
      </c>
      <c r="M299" s="1174">
        <f t="shared" si="53"/>
        <v>45.164850000000001</v>
      </c>
      <c r="N299" s="1174">
        <f t="shared" si="53"/>
        <v>-0.63339908200000072</v>
      </c>
    </row>
    <row r="300" spans="1:16" x14ac:dyDescent="0.25">
      <c r="F300" s="1175"/>
      <c r="G300" s="1175"/>
      <c r="H300" s="1175"/>
      <c r="I300" s="1175"/>
      <c r="J300" s="1175"/>
      <c r="K300" s="1175"/>
      <c r="L300" s="1175"/>
      <c r="M300" s="1175"/>
      <c r="N300" s="1175"/>
    </row>
    <row r="301" spans="1:16" x14ac:dyDescent="0.25">
      <c r="A301" s="1145"/>
      <c r="B301" s="1082" t="s">
        <v>940</v>
      </c>
      <c r="C301" s="1146"/>
      <c r="D301" s="1147"/>
      <c r="E301" s="1148"/>
      <c r="F301" s="1176"/>
      <c r="G301" s="1176"/>
      <c r="H301" s="1176"/>
      <c r="I301" s="1176"/>
      <c r="J301" s="1176"/>
      <c r="K301" s="1176"/>
      <c r="L301" s="1176"/>
      <c r="M301" s="1176"/>
      <c r="N301" s="1176"/>
    </row>
    <row r="302" spans="1:16" ht="15.5" outlineLevel="1" x14ac:dyDescent="0.25">
      <c r="A302" s="1149"/>
      <c r="B302" s="1012" t="str">
        <f t="shared" ref="B302:E309" si="54">B204</f>
        <v>a) DPR Schemes</v>
      </c>
      <c r="C302" s="1146"/>
      <c r="D302" s="1147"/>
      <c r="E302" s="1148"/>
      <c r="F302" s="1176"/>
      <c r="G302" s="1176"/>
      <c r="H302" s="1176"/>
      <c r="I302" s="1176"/>
      <c r="J302" s="1176"/>
      <c r="K302" s="1176"/>
      <c r="L302" s="1176"/>
      <c r="M302" s="1176"/>
      <c r="N302" s="1176"/>
    </row>
    <row r="303" spans="1:16" ht="15.5" outlineLevel="1" x14ac:dyDescent="0.25">
      <c r="A303" s="1149"/>
      <c r="B303" s="1150" t="str">
        <f t="shared" si="54"/>
        <v>(i) Submitted to MERC</v>
      </c>
      <c r="C303" s="1151"/>
      <c r="D303" s="1152"/>
      <c r="E303" s="1148"/>
      <c r="F303" s="1176"/>
      <c r="G303" s="1176"/>
      <c r="H303" s="1176"/>
      <c r="I303" s="1176"/>
      <c r="J303" s="1176"/>
      <c r="K303" s="1176"/>
      <c r="L303" s="1176"/>
      <c r="M303" s="1176"/>
      <c r="N303" s="1176"/>
    </row>
    <row r="304" spans="1:16" ht="31" outlineLevel="1" x14ac:dyDescent="0.25">
      <c r="A304" s="1153">
        <f t="shared" ref="A304:E311" si="55">A206</f>
        <v>2</v>
      </c>
      <c r="B304" s="1154" t="str">
        <f t="shared" si="54"/>
        <v>Various schemes of Hydro Power Stations at HPC Pune &amp; HPC Nasik</v>
      </c>
      <c r="C304" s="1155" t="str">
        <f t="shared" si="54"/>
        <v>MERC/TECH 12/CAPEX/20142015/00876</v>
      </c>
      <c r="D304" s="1156">
        <f t="shared" si="54"/>
        <v>41871</v>
      </c>
      <c r="E304" s="1157">
        <f t="shared" si="54"/>
        <v>0.73120000000000007</v>
      </c>
      <c r="F304" s="1158">
        <f t="shared" ref="F304:F311" si="56">F206+I206</f>
        <v>0</v>
      </c>
      <c r="G304" s="1158">
        <f t="shared" ref="G304:G311" si="57">G206+M206</f>
        <v>0</v>
      </c>
      <c r="H304" s="1158">
        <f>F304-G304</f>
        <v>0</v>
      </c>
      <c r="I304" s="1158">
        <v>0</v>
      </c>
      <c r="J304" s="1158">
        <v>0</v>
      </c>
      <c r="K304" s="1158"/>
      <c r="L304" s="1158"/>
      <c r="M304" s="1158">
        <f>SUM(J304:L304)</f>
        <v>0</v>
      </c>
      <c r="N304" s="1158">
        <f>H304+I304-M304</f>
        <v>0</v>
      </c>
      <c r="O304" s="1159">
        <f t="shared" ref="O304:O309" si="58">MAX(0,IF(M304=0,0,IF(G304+M304&lt;E304,M304,E304-G304)))</f>
        <v>0</v>
      </c>
      <c r="P304" s="1014">
        <f t="shared" ref="P304:P309" si="59">M304-O304</f>
        <v>0</v>
      </c>
    </row>
    <row r="305" spans="1:16" ht="46.5" outlineLevel="1" x14ac:dyDescent="0.25">
      <c r="A305" s="1160">
        <f t="shared" si="55"/>
        <v>2.6</v>
      </c>
      <c r="B305" s="1161" t="str">
        <f t="shared" si="54"/>
        <v>Supply, testing, installation and commissioning of Exide make 300 AH 220 V Lead acid stationary Plante type station battery set for Vaitarna HPS</v>
      </c>
      <c r="C305" s="1162" t="str">
        <f t="shared" si="54"/>
        <v>MERC/TECH 12/CAPEX/20142015/00876</v>
      </c>
      <c r="D305" s="1081">
        <f t="shared" si="54"/>
        <v>41871</v>
      </c>
      <c r="E305" s="1163">
        <f t="shared" si="54"/>
        <v>0.2</v>
      </c>
      <c r="F305" s="1177">
        <f t="shared" si="56"/>
        <v>0.1988615</v>
      </c>
      <c r="G305" s="1177">
        <f t="shared" si="57"/>
        <v>0.1988615</v>
      </c>
      <c r="H305" s="1177">
        <f t="shared" ref="H305:H396" si="60">F305-G305</f>
        <v>0</v>
      </c>
      <c r="I305" s="1158">
        <v>0</v>
      </c>
      <c r="J305" s="1158">
        <v>0</v>
      </c>
      <c r="K305" s="1177"/>
      <c r="L305" s="1177"/>
      <c r="M305" s="1177">
        <f t="shared" ref="M305:M396" si="61">SUM(J305:L305)</f>
        <v>0</v>
      </c>
      <c r="N305" s="1177">
        <f t="shared" ref="N305:N396" si="62">H305+I305-M305</f>
        <v>0</v>
      </c>
      <c r="O305" s="1159">
        <f t="shared" si="58"/>
        <v>0</v>
      </c>
      <c r="P305" s="1014">
        <f t="shared" si="59"/>
        <v>0</v>
      </c>
    </row>
    <row r="306" spans="1:16" ht="46.5" outlineLevel="1" x14ac:dyDescent="0.25">
      <c r="A306" s="1160">
        <f t="shared" si="55"/>
        <v>2.7</v>
      </c>
      <c r="B306" s="1161" t="str">
        <f t="shared" si="54"/>
        <v>Supply, testing, installation and commissioning of Exide make 300 AH 220 V Lead acid stationary Plante type station battery set for Bhatsa HPS</v>
      </c>
      <c r="C306" s="1162" t="str">
        <f t="shared" si="54"/>
        <v>MERC/TECH 12/CAPEX/20142015/00876</v>
      </c>
      <c r="D306" s="1081">
        <f t="shared" si="54"/>
        <v>41871</v>
      </c>
      <c r="E306" s="1163">
        <f t="shared" si="54"/>
        <v>0.2</v>
      </c>
      <c r="F306" s="1177">
        <f t="shared" si="56"/>
        <v>0.1988615</v>
      </c>
      <c r="G306" s="1177">
        <f t="shared" si="57"/>
        <v>0.1988615</v>
      </c>
      <c r="H306" s="1177">
        <f t="shared" si="60"/>
        <v>0</v>
      </c>
      <c r="I306" s="1158">
        <v>0</v>
      </c>
      <c r="J306" s="1158">
        <v>0</v>
      </c>
      <c r="K306" s="1177"/>
      <c r="L306" s="1177"/>
      <c r="M306" s="1177">
        <f t="shared" si="61"/>
        <v>0</v>
      </c>
      <c r="N306" s="1177">
        <f t="shared" si="62"/>
        <v>0</v>
      </c>
      <c r="O306" s="1159">
        <f t="shared" si="58"/>
        <v>0</v>
      </c>
      <c r="P306" s="1014">
        <f t="shared" si="59"/>
        <v>0</v>
      </c>
    </row>
    <row r="307" spans="1:16" ht="29" outlineLevel="1" x14ac:dyDescent="0.25">
      <c r="A307" s="1160">
        <f t="shared" si="55"/>
        <v>0</v>
      </c>
      <c r="B307" s="1161" t="str">
        <f t="shared" si="54"/>
        <v>IDC</v>
      </c>
      <c r="C307" s="1162" t="str">
        <f t="shared" si="54"/>
        <v>MERC/TECH 12/CAPEX/20142015/00876</v>
      </c>
      <c r="D307" s="1081">
        <f t="shared" si="54"/>
        <v>41871</v>
      </c>
      <c r="E307" s="1163">
        <f t="shared" si="54"/>
        <v>0.33119999999999999</v>
      </c>
      <c r="F307" s="1177">
        <f t="shared" si="56"/>
        <v>0</v>
      </c>
      <c r="G307" s="1177">
        <f t="shared" si="57"/>
        <v>0</v>
      </c>
      <c r="H307" s="1177">
        <f t="shared" si="60"/>
        <v>0</v>
      </c>
      <c r="I307" s="1158">
        <v>0</v>
      </c>
      <c r="J307" s="1158">
        <v>0</v>
      </c>
      <c r="K307" s="1177"/>
      <c r="L307" s="1177"/>
      <c r="M307" s="1177">
        <f t="shared" si="61"/>
        <v>0</v>
      </c>
      <c r="N307" s="1177">
        <f t="shared" si="62"/>
        <v>0</v>
      </c>
      <c r="O307" s="1159">
        <f t="shared" si="58"/>
        <v>0</v>
      </c>
      <c r="P307" s="1014">
        <f t="shared" si="59"/>
        <v>0</v>
      </c>
    </row>
    <row r="308" spans="1:16" ht="31" outlineLevel="1" x14ac:dyDescent="0.25">
      <c r="A308" s="1153">
        <f t="shared" si="55"/>
        <v>6</v>
      </c>
      <c r="B308" s="1154" t="str">
        <f t="shared" si="54"/>
        <v>Upgradation of Protection Systems at Ghatghar (2x125MW) and Bhatsa (1x15MW) HPS under HPC Nasik</v>
      </c>
      <c r="C308" s="1155" t="str">
        <f t="shared" si="54"/>
        <v>MERC/CAPEX/20172018/04220</v>
      </c>
      <c r="D308" s="1156">
        <f t="shared" si="54"/>
        <v>42997</v>
      </c>
      <c r="E308" s="1157">
        <f t="shared" si="54"/>
        <v>15.104000000000001</v>
      </c>
      <c r="F308" s="1158">
        <f t="shared" si="56"/>
        <v>0</v>
      </c>
      <c r="G308" s="1158">
        <f t="shared" si="57"/>
        <v>0</v>
      </c>
      <c r="H308" s="1158">
        <f t="shared" si="60"/>
        <v>0</v>
      </c>
      <c r="I308" s="1158">
        <v>0</v>
      </c>
      <c r="J308" s="1158">
        <v>0</v>
      </c>
      <c r="K308" s="1158"/>
      <c r="L308" s="1158"/>
      <c r="M308" s="1158">
        <f t="shared" si="61"/>
        <v>0</v>
      </c>
      <c r="N308" s="1158">
        <f t="shared" si="62"/>
        <v>0</v>
      </c>
      <c r="O308" s="1159">
        <f t="shared" si="58"/>
        <v>0</v>
      </c>
      <c r="P308" s="1014">
        <f t="shared" si="59"/>
        <v>0</v>
      </c>
    </row>
    <row r="309" spans="1:16" ht="31" outlineLevel="1" x14ac:dyDescent="0.25">
      <c r="A309" s="1160">
        <f t="shared" si="55"/>
        <v>6.1</v>
      </c>
      <c r="B309" s="1161" t="str">
        <f t="shared" si="54"/>
        <v>Up gradation of Protection System &amp;unitrol excitation system at Ghatghar Hydro Power Station.</v>
      </c>
      <c r="C309" s="1162" t="str">
        <f t="shared" si="54"/>
        <v>MERC/CAPEX/20172018/04220</v>
      </c>
      <c r="D309" s="1081">
        <f t="shared" si="54"/>
        <v>42997</v>
      </c>
      <c r="E309" s="1163">
        <f t="shared" si="54"/>
        <v>9.6780000000000008</v>
      </c>
      <c r="F309" s="1177">
        <f t="shared" si="56"/>
        <v>0</v>
      </c>
      <c r="G309" s="1177">
        <f t="shared" si="57"/>
        <v>0</v>
      </c>
      <c r="H309" s="1177">
        <f t="shared" si="60"/>
        <v>0</v>
      </c>
      <c r="I309" s="1158">
        <v>0</v>
      </c>
      <c r="J309" s="1158">
        <v>0</v>
      </c>
      <c r="K309" s="1177"/>
      <c r="L309" s="1177"/>
      <c r="M309" s="1177">
        <f t="shared" si="61"/>
        <v>0</v>
      </c>
      <c r="N309" s="1177">
        <f t="shared" si="62"/>
        <v>0</v>
      </c>
      <c r="O309" s="1159">
        <f t="shared" si="58"/>
        <v>0</v>
      </c>
      <c r="P309" s="1014">
        <f t="shared" si="59"/>
        <v>0</v>
      </c>
    </row>
    <row r="310" spans="1:16" ht="31" outlineLevel="1" x14ac:dyDescent="0.25">
      <c r="A310" s="1160">
        <f t="shared" si="55"/>
        <v>0</v>
      </c>
      <c r="B310" s="1161" t="str">
        <f t="shared" si="55"/>
        <v>Part A : upgradation of unitrol excitation system for both units at GHPS</v>
      </c>
      <c r="C310" s="1162">
        <f t="shared" si="55"/>
        <v>0</v>
      </c>
      <c r="D310" s="1081" t="str">
        <f t="shared" si="55"/>
        <v>-</v>
      </c>
      <c r="E310" s="1163">
        <f t="shared" si="55"/>
        <v>0</v>
      </c>
      <c r="F310" s="1177">
        <f t="shared" si="56"/>
        <v>3.4190499999999999</v>
      </c>
      <c r="G310" s="1177">
        <f t="shared" si="57"/>
        <v>3.4190499999999999</v>
      </c>
      <c r="H310" s="1177">
        <f t="shared" si="60"/>
        <v>0</v>
      </c>
      <c r="I310" s="1158">
        <v>0</v>
      </c>
      <c r="J310" s="1158">
        <v>0</v>
      </c>
      <c r="K310" s="1177"/>
      <c r="L310" s="1177"/>
      <c r="M310" s="1177">
        <f t="shared" si="61"/>
        <v>0</v>
      </c>
      <c r="N310" s="1177">
        <f t="shared" si="62"/>
        <v>0</v>
      </c>
      <c r="O310" s="1159"/>
      <c r="P310" s="1014"/>
    </row>
    <row r="311" spans="1:16" ht="15.5" outlineLevel="1" x14ac:dyDescent="0.25">
      <c r="A311" s="1160">
        <f t="shared" si="55"/>
        <v>0</v>
      </c>
      <c r="B311" s="1161" t="str">
        <f t="shared" si="55"/>
        <v>Part B : upgradation of Protection system for both units at GHPS</v>
      </c>
      <c r="C311" s="1162">
        <f t="shared" si="55"/>
        <v>0</v>
      </c>
      <c r="D311" s="1081" t="str">
        <f t="shared" si="55"/>
        <v>-</v>
      </c>
      <c r="E311" s="1163">
        <f t="shared" si="55"/>
        <v>0</v>
      </c>
      <c r="F311" s="1177">
        <f t="shared" si="56"/>
        <v>2.9146000000000001</v>
      </c>
      <c r="G311" s="1177">
        <f t="shared" si="57"/>
        <v>2.9146000000000001</v>
      </c>
      <c r="H311" s="1177">
        <f t="shared" si="60"/>
        <v>0</v>
      </c>
      <c r="I311" s="1158">
        <v>0</v>
      </c>
      <c r="J311" s="1158">
        <v>0</v>
      </c>
      <c r="K311" s="1177"/>
      <c r="L311" s="1177"/>
      <c r="M311" s="1177">
        <f t="shared" si="61"/>
        <v>0</v>
      </c>
      <c r="N311" s="1177">
        <f t="shared" si="62"/>
        <v>0</v>
      </c>
      <c r="O311" s="1159"/>
      <c r="P311" s="1014"/>
    </row>
    <row r="312" spans="1:16" ht="46.5" outlineLevel="1" x14ac:dyDescent="0.25">
      <c r="A312" s="1160">
        <f>A214</f>
        <v>6.2</v>
      </c>
      <c r="B312" s="1161" t="str">
        <f>B214</f>
        <v>Up gradation of ABB Make Protection System &amp; Automatic Voltage Regulator, Relay Based Unit &amp; Auxiliary control for Bhatsa Hydro Power Station(1 X 15MW).</v>
      </c>
      <c r="C312" s="1162" t="str">
        <f>C214</f>
        <v>MERC/CAPEX/20172018/04220</v>
      </c>
      <c r="D312" s="1081">
        <f>D214</f>
        <v>42997</v>
      </c>
      <c r="E312" s="1163">
        <f>E214</f>
        <v>5.4260000000000002</v>
      </c>
      <c r="F312" s="1177">
        <f>F214+I214</f>
        <v>0</v>
      </c>
      <c r="G312" s="1177">
        <f>G214+M214</f>
        <v>0</v>
      </c>
      <c r="H312" s="1177">
        <f t="shared" si="60"/>
        <v>0</v>
      </c>
      <c r="I312" s="1158">
        <v>0</v>
      </c>
      <c r="J312" s="1158">
        <v>0</v>
      </c>
      <c r="K312" s="1177"/>
      <c r="L312" s="1177"/>
      <c r="M312" s="1177">
        <f t="shared" si="61"/>
        <v>0</v>
      </c>
      <c r="N312" s="1177">
        <f t="shared" si="62"/>
        <v>0</v>
      </c>
      <c r="O312" s="1159">
        <f t="shared" ref="O312" si="63">MAX(0,IF(M312=0,0,IF(G312+M312&lt;E312,M312,E312-G312)))</f>
        <v>0</v>
      </c>
      <c r="P312" s="1014">
        <f t="shared" ref="P312" si="64">M312-O312</f>
        <v>0</v>
      </c>
    </row>
    <row r="313" spans="1:16" ht="46.5" outlineLevel="1" x14ac:dyDescent="0.25">
      <c r="A313" s="1160">
        <f t="shared" ref="A313:E328" si="65">A215</f>
        <v>0</v>
      </c>
      <c r="B313" s="1161" t="str">
        <f t="shared" si="65"/>
        <v xml:space="preserve"> Protection system Part A:- Restoration and up-gradation of electromechanical and static relays with numerical relays along with installation, testing, commissioning, and misc. allied works </v>
      </c>
      <c r="C313" s="1162">
        <f t="shared" si="65"/>
        <v>0</v>
      </c>
      <c r="D313" s="1081" t="str">
        <f t="shared" si="65"/>
        <v>-</v>
      </c>
      <c r="E313" s="1163">
        <f t="shared" si="65"/>
        <v>0</v>
      </c>
      <c r="F313" s="1177">
        <f t="shared" ref="F313:F376" si="66">F215+I215</f>
        <v>0</v>
      </c>
      <c r="G313" s="1177">
        <f t="shared" ref="G313:G376" si="67">G215+M215</f>
        <v>0.45666000000000001</v>
      </c>
      <c r="H313" s="1177">
        <f t="shared" si="60"/>
        <v>-0.45666000000000001</v>
      </c>
      <c r="I313" s="1158">
        <v>0</v>
      </c>
      <c r="J313" s="1158">
        <v>0</v>
      </c>
      <c r="K313" s="1177"/>
      <c r="L313" s="1177"/>
      <c r="M313" s="1177">
        <f t="shared" si="61"/>
        <v>0</v>
      </c>
      <c r="N313" s="1177">
        <f t="shared" si="62"/>
        <v>-0.45666000000000001</v>
      </c>
      <c r="O313" s="1159"/>
      <c r="P313" s="1014"/>
    </row>
    <row r="314" spans="1:16" ht="31" outlineLevel="1" x14ac:dyDescent="0.25">
      <c r="A314" s="1160">
        <f t="shared" si="65"/>
        <v>0</v>
      </c>
      <c r="B314" s="1161" t="str">
        <f t="shared" si="65"/>
        <v>Protection system Part B:- Procure of redundant &amp; spare Numerical relays for Generator and G T Protection system.</v>
      </c>
      <c r="C314" s="1162">
        <f t="shared" si="65"/>
        <v>0</v>
      </c>
      <c r="D314" s="1081" t="str">
        <f t="shared" si="65"/>
        <v>-</v>
      </c>
      <c r="E314" s="1163">
        <f t="shared" si="65"/>
        <v>0</v>
      </c>
      <c r="F314" s="1177">
        <f t="shared" si="66"/>
        <v>0.65</v>
      </c>
      <c r="G314" s="1177">
        <f t="shared" si="67"/>
        <v>0.65</v>
      </c>
      <c r="H314" s="1177">
        <f t="shared" si="60"/>
        <v>0</v>
      </c>
      <c r="I314" s="1158">
        <v>0</v>
      </c>
      <c r="J314" s="1158">
        <v>0</v>
      </c>
      <c r="K314" s="1177"/>
      <c r="L314" s="1177"/>
      <c r="M314" s="1177">
        <f t="shared" si="61"/>
        <v>0</v>
      </c>
      <c r="N314" s="1177">
        <f t="shared" si="62"/>
        <v>0</v>
      </c>
      <c r="O314" s="1159"/>
      <c r="P314" s="1014"/>
    </row>
    <row r="315" spans="1:16" ht="46.5" outlineLevel="1" x14ac:dyDescent="0.25">
      <c r="A315" s="1160">
        <f t="shared" si="65"/>
        <v>0</v>
      </c>
      <c r="B315" s="1161" t="str">
        <f t="shared" si="65"/>
        <v>C- Supply erection, testing and Commissioning and supervision of dismantling and erection of static excitation system and control system along with field instrumentation at Bhatsa HPS</v>
      </c>
      <c r="C315" s="1162">
        <f t="shared" si="65"/>
        <v>0</v>
      </c>
      <c r="D315" s="1081" t="str">
        <f t="shared" si="65"/>
        <v>-</v>
      </c>
      <c r="E315" s="1163">
        <f t="shared" si="65"/>
        <v>0</v>
      </c>
      <c r="F315" s="1177">
        <f t="shared" si="66"/>
        <v>3.8231999999999999</v>
      </c>
      <c r="G315" s="1177">
        <f t="shared" si="67"/>
        <v>3.8231999999999999</v>
      </c>
      <c r="H315" s="1177">
        <f t="shared" si="60"/>
        <v>0</v>
      </c>
      <c r="I315" s="1158">
        <v>0</v>
      </c>
      <c r="J315" s="1158">
        <v>0</v>
      </c>
      <c r="K315" s="1177"/>
      <c r="L315" s="1177"/>
      <c r="M315" s="1177">
        <f t="shared" si="61"/>
        <v>0</v>
      </c>
      <c r="N315" s="1177">
        <f t="shared" si="62"/>
        <v>0</v>
      </c>
      <c r="O315" s="1159"/>
      <c r="P315" s="1014"/>
    </row>
    <row r="316" spans="1:16" ht="31" outlineLevel="1" x14ac:dyDescent="0.25">
      <c r="A316" s="1153">
        <f t="shared" si="65"/>
        <v>9</v>
      </c>
      <c r="B316" s="1154" t="str">
        <f t="shared" si="65"/>
        <v>Various Civil schemes for Modernisations of colonies at Various Locations under Nasik HPC</v>
      </c>
      <c r="C316" s="1155" t="str">
        <f t="shared" si="65"/>
        <v>MERC/CAPEX/20162017/04757</v>
      </c>
      <c r="D316" s="1156">
        <f t="shared" si="65"/>
        <v>43061</v>
      </c>
      <c r="E316" s="1157">
        <f t="shared" si="65"/>
        <v>14.566664273199997</v>
      </c>
      <c r="F316" s="1158">
        <f t="shared" si="66"/>
        <v>0</v>
      </c>
      <c r="G316" s="1158">
        <f t="shared" si="67"/>
        <v>0</v>
      </c>
      <c r="H316" s="1158">
        <f t="shared" si="60"/>
        <v>0</v>
      </c>
      <c r="I316" s="1158">
        <v>0</v>
      </c>
      <c r="J316" s="1158">
        <v>0</v>
      </c>
      <c r="K316" s="1158"/>
      <c r="L316" s="1158"/>
      <c r="M316" s="1158">
        <f t="shared" si="61"/>
        <v>0</v>
      </c>
      <c r="N316" s="1158">
        <f t="shared" si="62"/>
        <v>0</v>
      </c>
      <c r="O316" s="1159">
        <f t="shared" ref="O316:O335" si="68">MAX(0,IF(M316=0,0,IF(G316+M316&lt;E316,M316,E316-G316)))</f>
        <v>0</v>
      </c>
      <c r="P316" s="1014">
        <f t="shared" ref="P316:P335" si="69">M316-O316</f>
        <v>0</v>
      </c>
    </row>
    <row r="317" spans="1:16" ht="46.5" outlineLevel="1" x14ac:dyDescent="0.25">
      <c r="A317" s="1160">
        <f t="shared" si="65"/>
        <v>9.1</v>
      </c>
      <c r="B317" s="1161" t="str">
        <f t="shared" si="65"/>
        <v>Part A: Refurbishment of quarters in colony, administartive buidings club building, guest house at various HPS under Nashik HPS</v>
      </c>
      <c r="C317" s="1162" t="str">
        <f t="shared" si="65"/>
        <v>MERC/CAPEX/20162017/04757</v>
      </c>
      <c r="D317" s="1081">
        <f t="shared" si="65"/>
        <v>43061</v>
      </c>
      <c r="E317" s="1163">
        <f t="shared" si="65"/>
        <v>3.7363539351999999</v>
      </c>
      <c r="F317" s="1177">
        <f t="shared" si="66"/>
        <v>3.6419878699999999</v>
      </c>
      <c r="G317" s="1177">
        <f t="shared" si="67"/>
        <v>4.2510011510000005</v>
      </c>
      <c r="H317" s="1177">
        <f t="shared" si="60"/>
        <v>-0.60901328100000063</v>
      </c>
      <c r="I317" s="1158">
        <v>0</v>
      </c>
      <c r="J317" s="1158">
        <v>0</v>
      </c>
      <c r="K317" s="1177"/>
      <c r="L317" s="1177"/>
      <c r="M317" s="1177">
        <f t="shared" si="61"/>
        <v>0</v>
      </c>
      <c r="N317" s="1177">
        <f t="shared" si="62"/>
        <v>-0.60901328100000063</v>
      </c>
      <c r="O317" s="1159">
        <f t="shared" si="68"/>
        <v>0</v>
      </c>
      <c r="P317" s="1014">
        <f t="shared" si="69"/>
        <v>0</v>
      </c>
    </row>
    <row r="318" spans="1:16" ht="31" outlineLevel="1" x14ac:dyDescent="0.25">
      <c r="A318" s="1160">
        <f t="shared" si="65"/>
        <v>9.1999999999999993</v>
      </c>
      <c r="B318" s="1161" t="str">
        <f t="shared" si="65"/>
        <v>Part B: Providing and laying water supply lines within colony and power house area at various HPS under Nashik HPS</v>
      </c>
      <c r="C318" s="1162" t="str">
        <f t="shared" si="65"/>
        <v>MERC/CAPEX/20162017/04757</v>
      </c>
      <c r="D318" s="1081">
        <f t="shared" si="65"/>
        <v>43061</v>
      </c>
      <c r="E318" s="1163">
        <f t="shared" si="65"/>
        <v>0.50088049999999995</v>
      </c>
      <c r="F318" s="1177">
        <f t="shared" si="66"/>
        <v>0.11901328100000001</v>
      </c>
      <c r="G318" s="1177">
        <f t="shared" si="67"/>
        <v>0.11901328100000001</v>
      </c>
      <c r="H318" s="1177">
        <f t="shared" si="60"/>
        <v>0</v>
      </c>
      <c r="I318" s="1158">
        <v>0</v>
      </c>
      <c r="J318" s="1158">
        <v>0</v>
      </c>
      <c r="K318" s="1177"/>
      <c r="L318" s="1177"/>
      <c r="M318" s="1177">
        <f t="shared" si="61"/>
        <v>0</v>
      </c>
      <c r="N318" s="1177">
        <f t="shared" si="62"/>
        <v>0</v>
      </c>
      <c r="O318" s="1159">
        <f t="shared" si="68"/>
        <v>0</v>
      </c>
      <c r="P318" s="1014">
        <f t="shared" si="69"/>
        <v>0</v>
      </c>
    </row>
    <row r="319" spans="1:16" ht="31" outlineLevel="1" x14ac:dyDescent="0.25">
      <c r="A319" s="1160">
        <f t="shared" si="65"/>
        <v>9.3000000000000007</v>
      </c>
      <c r="B319" s="1161" t="str">
        <f t="shared" si="65"/>
        <v>Part C: Construction of compund wall/chainlink fencing around colony and power house area at various HPS under Nashik HPS.</v>
      </c>
      <c r="C319" s="1162" t="str">
        <f t="shared" si="65"/>
        <v>MERC/CAPEX/20162017/04757</v>
      </c>
      <c r="D319" s="1081">
        <f t="shared" si="65"/>
        <v>43061</v>
      </c>
      <c r="E319" s="1163">
        <f t="shared" si="65"/>
        <v>0.74832697199999998</v>
      </c>
      <c r="F319" s="1177">
        <f t="shared" si="66"/>
        <v>0.17</v>
      </c>
      <c r="G319" s="1177">
        <f t="shared" si="67"/>
        <v>0.17</v>
      </c>
      <c r="H319" s="1177">
        <f t="shared" si="60"/>
        <v>0</v>
      </c>
      <c r="I319" s="1158">
        <v>0</v>
      </c>
      <c r="J319" s="1158">
        <v>0</v>
      </c>
      <c r="K319" s="1177"/>
      <c r="L319" s="1177"/>
      <c r="M319" s="1177">
        <f t="shared" si="61"/>
        <v>0</v>
      </c>
      <c r="N319" s="1177">
        <f t="shared" si="62"/>
        <v>0</v>
      </c>
      <c r="O319" s="1159">
        <f t="shared" si="68"/>
        <v>0</v>
      </c>
      <c r="P319" s="1014">
        <f t="shared" si="69"/>
        <v>0</v>
      </c>
    </row>
    <row r="320" spans="1:16" ht="62" outlineLevel="1" x14ac:dyDescent="0.25">
      <c r="A320" s="1160">
        <f t="shared" si="65"/>
        <v>9.4</v>
      </c>
      <c r="B320" s="1161" t="str">
        <f t="shared" si="65"/>
        <v>Part D: Providing &amp; relaying of existing internal roads within colony area and approach roads to power house &amp; construction of storm water gutter along road at various HPS under HPC Nashik</v>
      </c>
      <c r="C320" s="1162" t="str">
        <f t="shared" si="65"/>
        <v>MERC/CAPEX/20162017/04757</v>
      </c>
      <c r="D320" s="1081">
        <f t="shared" si="65"/>
        <v>43061</v>
      </c>
      <c r="E320" s="1163">
        <f t="shared" si="65"/>
        <v>9.5811028659999984</v>
      </c>
      <c r="F320" s="1177">
        <f t="shared" si="66"/>
        <v>4.0537161709999996</v>
      </c>
      <c r="G320" s="1177">
        <f t="shared" si="67"/>
        <v>4.0537161709999996</v>
      </c>
      <c r="H320" s="1177">
        <f t="shared" si="60"/>
        <v>0</v>
      </c>
      <c r="I320" s="1158">
        <v>0</v>
      </c>
      <c r="J320" s="1158">
        <v>0</v>
      </c>
      <c r="K320" s="1177"/>
      <c r="L320" s="1177"/>
      <c r="M320" s="1177">
        <f t="shared" si="61"/>
        <v>0</v>
      </c>
      <c r="N320" s="1177">
        <f t="shared" si="62"/>
        <v>0</v>
      </c>
      <c r="O320" s="1159">
        <f t="shared" si="68"/>
        <v>0</v>
      </c>
      <c r="P320" s="1014">
        <f t="shared" si="69"/>
        <v>0</v>
      </c>
    </row>
    <row r="321" spans="1:16" ht="46.5" outlineLevel="1" x14ac:dyDescent="0.25">
      <c r="A321" s="1153">
        <f t="shared" si="65"/>
        <v>10</v>
      </c>
      <c r="B321" s="1154" t="str">
        <f t="shared" si="65"/>
        <v>Upgradation of existing PLC system to latest symphony plus SCADA &amp; DCS system of Ghatghar HPS (2x125 MW) under HPS Nasik</v>
      </c>
      <c r="C321" s="1155" t="str">
        <f t="shared" si="65"/>
        <v>MERC/CAPEX/20172018/0198</v>
      </c>
      <c r="D321" s="1156">
        <f t="shared" si="65"/>
        <v>43137</v>
      </c>
      <c r="E321" s="1157">
        <f t="shared" si="65"/>
        <v>13.345000000000001</v>
      </c>
      <c r="F321" s="1158">
        <f t="shared" si="66"/>
        <v>0</v>
      </c>
      <c r="G321" s="1158">
        <f t="shared" si="67"/>
        <v>0</v>
      </c>
      <c r="H321" s="1158">
        <f t="shared" si="60"/>
        <v>0</v>
      </c>
      <c r="I321" s="1158">
        <v>0</v>
      </c>
      <c r="J321" s="1158">
        <v>0</v>
      </c>
      <c r="K321" s="1158"/>
      <c r="L321" s="1158"/>
      <c r="M321" s="1158">
        <f t="shared" si="61"/>
        <v>0</v>
      </c>
      <c r="N321" s="1158">
        <f t="shared" si="62"/>
        <v>0</v>
      </c>
      <c r="O321" s="1159">
        <f t="shared" si="68"/>
        <v>0</v>
      </c>
      <c r="P321" s="1014">
        <f t="shared" si="69"/>
        <v>0</v>
      </c>
    </row>
    <row r="322" spans="1:16" ht="46.5" outlineLevel="1" x14ac:dyDescent="0.25">
      <c r="A322" s="1160">
        <f t="shared" si="65"/>
        <v>10.1</v>
      </c>
      <c r="B322" s="1161" t="str">
        <f t="shared" si="65"/>
        <v>Upgradation of existing PLC system to latest symphony plus SCADA &amp; DCS system of Ghatghar HPS (2x125 MW) under HPS Nasik</v>
      </c>
      <c r="C322" s="1162" t="str">
        <f t="shared" si="65"/>
        <v>MERC/CAPEX/20172018/0198</v>
      </c>
      <c r="D322" s="1081">
        <f t="shared" si="65"/>
        <v>43137</v>
      </c>
      <c r="E322" s="1163">
        <f t="shared" si="65"/>
        <v>13.345000000000001</v>
      </c>
      <c r="F322" s="1177">
        <f t="shared" si="66"/>
        <v>0</v>
      </c>
      <c r="G322" s="1177">
        <f t="shared" si="67"/>
        <v>0</v>
      </c>
      <c r="H322" s="1177">
        <f t="shared" si="60"/>
        <v>0</v>
      </c>
      <c r="I322" s="1158">
        <v>14.55025</v>
      </c>
      <c r="J322" s="1158">
        <v>14.55025</v>
      </c>
      <c r="K322" s="1177"/>
      <c r="L322" s="1177"/>
      <c r="M322" s="1177">
        <f t="shared" si="61"/>
        <v>14.55025</v>
      </c>
      <c r="N322" s="1177">
        <f t="shared" si="62"/>
        <v>0</v>
      </c>
      <c r="O322" s="1159">
        <f t="shared" si="68"/>
        <v>13.345000000000001</v>
      </c>
      <c r="P322" s="1014">
        <f t="shared" si="69"/>
        <v>1.2052499999999995</v>
      </c>
    </row>
    <row r="323" spans="1:16" ht="31" outlineLevel="1" x14ac:dyDescent="0.25">
      <c r="A323" s="1153">
        <f t="shared" si="65"/>
        <v>14</v>
      </c>
      <c r="B323" s="1154" t="str">
        <f t="shared" si="65"/>
        <v>Various 14 Nos. of schemes for Hydro Power Stations under Renewable Energy Circle, Pune &amp; Nasik</v>
      </c>
      <c r="C323" s="1155" t="str">
        <f t="shared" si="65"/>
        <v>MERC/CAPEX/2020-21/WFH/SBR/ 19</v>
      </c>
      <c r="D323" s="1156">
        <f t="shared" si="65"/>
        <v>44029</v>
      </c>
      <c r="E323" s="1157">
        <f t="shared" si="65"/>
        <v>8.9129999999999985</v>
      </c>
      <c r="F323" s="1158">
        <f t="shared" si="66"/>
        <v>0</v>
      </c>
      <c r="G323" s="1158">
        <f t="shared" si="67"/>
        <v>0</v>
      </c>
      <c r="H323" s="1158">
        <f t="shared" si="60"/>
        <v>0</v>
      </c>
      <c r="I323" s="1158">
        <v>0</v>
      </c>
      <c r="J323" s="1158">
        <v>0</v>
      </c>
      <c r="K323" s="1158"/>
      <c r="L323" s="1158"/>
      <c r="M323" s="1158">
        <f t="shared" si="61"/>
        <v>0</v>
      </c>
      <c r="N323" s="1158">
        <f t="shared" si="62"/>
        <v>0</v>
      </c>
      <c r="O323" s="1159">
        <f t="shared" si="68"/>
        <v>0</v>
      </c>
      <c r="P323" s="1014">
        <f t="shared" si="69"/>
        <v>0</v>
      </c>
    </row>
    <row r="324" spans="1:16" ht="31" outlineLevel="1" x14ac:dyDescent="0.25">
      <c r="A324" s="1164">
        <f t="shared" si="65"/>
        <v>14.1</v>
      </c>
      <c r="B324" s="1161" t="str">
        <f t="shared" si="65"/>
        <v>Schme-C :Replacement of existing Energy meters by 0.2S Class Energy meters at various HPS.</v>
      </c>
      <c r="C324" s="1162" t="str">
        <f t="shared" si="65"/>
        <v>MERC/CAPEX/2020-21/WFH/SBR/ 19</v>
      </c>
      <c r="D324" s="1081">
        <f t="shared" si="65"/>
        <v>44029</v>
      </c>
      <c r="E324" s="1163">
        <f t="shared" si="65"/>
        <v>0.10199999999999999</v>
      </c>
      <c r="F324" s="1177">
        <f t="shared" si="66"/>
        <v>0</v>
      </c>
      <c r="G324" s="1177">
        <f t="shared" si="67"/>
        <v>0</v>
      </c>
      <c r="H324" s="1177">
        <f t="shared" si="60"/>
        <v>0</v>
      </c>
      <c r="I324" s="1158">
        <v>0</v>
      </c>
      <c r="J324" s="1158">
        <v>0</v>
      </c>
      <c r="K324" s="1177"/>
      <c r="L324" s="1177"/>
      <c r="M324" s="1177">
        <f t="shared" si="61"/>
        <v>0</v>
      </c>
      <c r="N324" s="1177">
        <f t="shared" si="62"/>
        <v>0</v>
      </c>
      <c r="O324" s="1159">
        <f t="shared" si="68"/>
        <v>0</v>
      </c>
      <c r="P324" s="1014">
        <f t="shared" si="69"/>
        <v>0</v>
      </c>
    </row>
    <row r="325" spans="1:16" ht="31" outlineLevel="1" x14ac:dyDescent="0.25">
      <c r="A325" s="1164">
        <f t="shared" si="65"/>
        <v>14.2</v>
      </c>
      <c r="B325" s="1161" t="str">
        <f t="shared" si="65"/>
        <v>Schme-F: Replacement of 220V / 300AH Float cum boost charger with integrated DCDB for Bhatsa Hydro Power Stn.</v>
      </c>
      <c r="C325" s="1162" t="str">
        <f t="shared" si="65"/>
        <v>MERC/CAPEX/2020-21/WFH/SBR/ 19</v>
      </c>
      <c r="D325" s="1081">
        <f t="shared" si="65"/>
        <v>44029</v>
      </c>
      <c r="E325" s="1163">
        <f t="shared" si="65"/>
        <v>0.17299999999999999</v>
      </c>
      <c r="F325" s="1177">
        <f t="shared" si="66"/>
        <v>0.11446000000000001</v>
      </c>
      <c r="G325" s="1177">
        <f t="shared" si="67"/>
        <v>0.11446000000000001</v>
      </c>
      <c r="H325" s="1177">
        <f t="shared" si="60"/>
        <v>0</v>
      </c>
      <c r="I325" s="1158">
        <v>0</v>
      </c>
      <c r="J325" s="1158">
        <v>0</v>
      </c>
      <c r="K325" s="1177"/>
      <c r="L325" s="1177"/>
      <c r="M325" s="1177">
        <f t="shared" si="61"/>
        <v>0</v>
      </c>
      <c r="N325" s="1177">
        <f t="shared" si="62"/>
        <v>0</v>
      </c>
      <c r="O325" s="1159">
        <f t="shared" si="68"/>
        <v>0</v>
      </c>
      <c r="P325" s="1014">
        <f t="shared" si="69"/>
        <v>0</v>
      </c>
    </row>
    <row r="326" spans="1:16" ht="31" outlineLevel="1" x14ac:dyDescent="0.25">
      <c r="A326" s="1164">
        <f t="shared" si="65"/>
        <v>14.3</v>
      </c>
      <c r="B326" s="1161" t="str">
        <f t="shared" si="65"/>
        <v>Schme-G: Replacement of 220V / 300AH Float cum boost charger with integrated DCDB for Surya Hydro Power Stn.</v>
      </c>
      <c r="C326" s="1162" t="str">
        <f t="shared" si="65"/>
        <v>MERC/CAPEX/2020-21/WFH/SBR/ 19</v>
      </c>
      <c r="D326" s="1081">
        <f t="shared" si="65"/>
        <v>44029</v>
      </c>
      <c r="E326" s="1163">
        <f t="shared" si="65"/>
        <v>0.17299999999999999</v>
      </c>
      <c r="F326" s="1177">
        <f t="shared" si="66"/>
        <v>0.11446000000000001</v>
      </c>
      <c r="G326" s="1177">
        <f t="shared" si="67"/>
        <v>0.11446000000000001</v>
      </c>
      <c r="H326" s="1177">
        <f t="shared" si="60"/>
        <v>0</v>
      </c>
      <c r="I326" s="1158">
        <v>0</v>
      </c>
      <c r="J326" s="1158">
        <v>0</v>
      </c>
      <c r="K326" s="1177"/>
      <c r="L326" s="1177"/>
      <c r="M326" s="1177">
        <f t="shared" si="61"/>
        <v>0</v>
      </c>
      <c r="N326" s="1177">
        <f t="shared" si="62"/>
        <v>0</v>
      </c>
      <c r="O326" s="1159">
        <f t="shared" si="68"/>
        <v>0</v>
      </c>
      <c r="P326" s="1014">
        <f t="shared" si="69"/>
        <v>0</v>
      </c>
    </row>
    <row r="327" spans="1:16" ht="29" outlineLevel="1" x14ac:dyDescent="0.25">
      <c r="A327" s="1164">
        <f t="shared" si="65"/>
        <v>14.4</v>
      </c>
      <c r="B327" s="1161" t="str">
        <f t="shared" si="65"/>
        <v>Schme-H: Supply 24 point Chartless recorder for Bhatsa HPS.</v>
      </c>
      <c r="C327" s="1162" t="str">
        <f t="shared" si="65"/>
        <v>MERC/CAPEX/2020-21/WFH/SBR/ 19</v>
      </c>
      <c r="D327" s="1081">
        <f t="shared" si="65"/>
        <v>44029</v>
      </c>
      <c r="E327" s="1163">
        <f t="shared" si="65"/>
        <v>5.8999999999999997E-2</v>
      </c>
      <c r="F327" s="1177">
        <f t="shared" si="66"/>
        <v>2.02455E-2</v>
      </c>
      <c r="G327" s="1177">
        <f t="shared" si="67"/>
        <v>2.02455E-2</v>
      </c>
      <c r="H327" s="1177">
        <f t="shared" si="60"/>
        <v>0</v>
      </c>
      <c r="I327" s="1158">
        <v>0</v>
      </c>
      <c r="J327" s="1158">
        <v>0</v>
      </c>
      <c r="K327" s="1177"/>
      <c r="L327" s="1177"/>
      <c r="M327" s="1177">
        <f t="shared" si="61"/>
        <v>0</v>
      </c>
      <c r="N327" s="1177">
        <f t="shared" si="62"/>
        <v>0</v>
      </c>
      <c r="O327" s="1159">
        <f t="shared" si="68"/>
        <v>0</v>
      </c>
      <c r="P327" s="1014">
        <f t="shared" si="69"/>
        <v>0</v>
      </c>
    </row>
    <row r="328" spans="1:16" ht="31" outlineLevel="1" x14ac:dyDescent="0.25">
      <c r="A328" s="1164">
        <f t="shared" si="65"/>
        <v>14.5</v>
      </c>
      <c r="B328" s="1161" t="str">
        <f t="shared" si="65"/>
        <v>Schme-I: Supply Erection, testing &amp; commissioning of Digital governing system for 06MW Surya HPS.</v>
      </c>
      <c r="C328" s="1162" t="str">
        <f t="shared" si="65"/>
        <v>MERC/CAPEX/2020-21/WFH/SBR/ 19</v>
      </c>
      <c r="D328" s="1081">
        <f t="shared" si="65"/>
        <v>44029</v>
      </c>
      <c r="E328" s="1163">
        <f t="shared" si="65"/>
        <v>1.954</v>
      </c>
      <c r="F328" s="1177">
        <f t="shared" si="66"/>
        <v>1.954</v>
      </c>
      <c r="G328" s="1177">
        <f t="shared" si="67"/>
        <v>1.954</v>
      </c>
      <c r="H328" s="1177">
        <f t="shared" si="60"/>
        <v>0</v>
      </c>
      <c r="I328" s="1158">
        <v>0</v>
      </c>
      <c r="J328" s="1158">
        <v>0</v>
      </c>
      <c r="K328" s="1177"/>
      <c r="L328" s="1177"/>
      <c r="M328" s="1177">
        <f t="shared" si="61"/>
        <v>0</v>
      </c>
      <c r="N328" s="1177">
        <f t="shared" si="62"/>
        <v>0</v>
      </c>
      <c r="O328" s="1159">
        <f t="shared" si="68"/>
        <v>0</v>
      </c>
      <c r="P328" s="1014">
        <f t="shared" si="69"/>
        <v>0</v>
      </c>
    </row>
    <row r="329" spans="1:16" ht="46.5" outlineLevel="1" x14ac:dyDescent="0.25">
      <c r="A329" s="1164">
        <f t="shared" ref="A329:E344" si="70">A231</f>
        <v>14.6</v>
      </c>
      <c r="B329" s="1161" t="str">
        <f t="shared" si="70"/>
        <v>Schme-J: Supply, Erection, testing &amp; commissioning of Digital governing system and Hydraulic oil pressure unit for 15 MW Bhatsa HPS.</v>
      </c>
      <c r="C329" s="1162" t="str">
        <f t="shared" si="70"/>
        <v>MERC/CAPEX/2020-21/WFH/SBR/ 19</v>
      </c>
      <c r="D329" s="1081">
        <f t="shared" si="70"/>
        <v>44029</v>
      </c>
      <c r="E329" s="1163">
        <f t="shared" si="70"/>
        <v>2.0270000000000001</v>
      </c>
      <c r="F329" s="1177">
        <f t="shared" si="66"/>
        <v>2.0502972000000002</v>
      </c>
      <c r="G329" s="1177">
        <f t="shared" si="67"/>
        <v>1.5936372000000001</v>
      </c>
      <c r="H329" s="1177">
        <f t="shared" si="60"/>
        <v>0.45666000000000007</v>
      </c>
      <c r="I329" s="1158">
        <v>0</v>
      </c>
      <c r="J329" s="1158">
        <v>0</v>
      </c>
      <c r="K329" s="1177"/>
      <c r="L329" s="1177"/>
      <c r="M329" s="1177">
        <f t="shared" si="61"/>
        <v>0</v>
      </c>
      <c r="N329" s="1177">
        <f t="shared" si="62"/>
        <v>0.45666000000000007</v>
      </c>
      <c r="O329" s="1159">
        <f t="shared" si="68"/>
        <v>0</v>
      </c>
      <c r="P329" s="1014">
        <f t="shared" si="69"/>
        <v>0</v>
      </c>
    </row>
    <row r="330" spans="1:16" ht="31" outlineLevel="1" x14ac:dyDescent="0.25">
      <c r="A330" s="1164">
        <f t="shared" si="70"/>
        <v>14.7</v>
      </c>
      <c r="B330" s="1161" t="str">
        <f t="shared" si="70"/>
        <v>Schme-K: Supply, Retrofitting, up gradation, Commissioning of Generator protection system at Paithan HPS.</v>
      </c>
      <c r="C330" s="1162" t="str">
        <f t="shared" si="70"/>
        <v>MERC/CAPEX/2020-21/WFH/SBR/ 19</v>
      </c>
      <c r="D330" s="1081">
        <f t="shared" si="70"/>
        <v>44029</v>
      </c>
      <c r="E330" s="1163">
        <f t="shared" si="70"/>
        <v>0.87</v>
      </c>
      <c r="F330" s="1177">
        <f t="shared" si="66"/>
        <v>0.87</v>
      </c>
      <c r="G330" s="1177">
        <f t="shared" si="67"/>
        <v>0.87</v>
      </c>
      <c r="H330" s="1177">
        <f t="shared" si="60"/>
        <v>0</v>
      </c>
      <c r="I330" s="1158">
        <v>0</v>
      </c>
      <c r="J330" s="1158">
        <v>0</v>
      </c>
      <c r="K330" s="1177"/>
      <c r="L330" s="1177"/>
      <c r="M330" s="1177">
        <f t="shared" si="61"/>
        <v>0</v>
      </c>
      <c r="N330" s="1177">
        <f t="shared" si="62"/>
        <v>0</v>
      </c>
      <c r="O330" s="1159">
        <f t="shared" si="68"/>
        <v>0</v>
      </c>
      <c r="P330" s="1014">
        <f t="shared" si="69"/>
        <v>0</v>
      </c>
    </row>
    <row r="331" spans="1:16" ht="31" outlineLevel="1" x14ac:dyDescent="0.25">
      <c r="A331" s="1164">
        <f t="shared" si="70"/>
        <v>14.8</v>
      </c>
      <c r="B331" s="1161" t="str">
        <f t="shared" si="70"/>
        <v>Schme-L: Replacement of existing compressor with new compressor (1 Nos.) at Paithan HPS</v>
      </c>
      <c r="C331" s="1162" t="str">
        <f t="shared" si="70"/>
        <v>MERC/CAPEX/2020-21/WFH/SBR/ 19</v>
      </c>
      <c r="D331" s="1081">
        <f t="shared" si="70"/>
        <v>44029</v>
      </c>
      <c r="E331" s="1163">
        <f t="shared" si="70"/>
        <v>0.46700000000000003</v>
      </c>
      <c r="F331" s="1177">
        <f t="shared" si="66"/>
        <v>0.46700000000000003</v>
      </c>
      <c r="G331" s="1177">
        <f t="shared" si="67"/>
        <v>0.46700000000000003</v>
      </c>
      <c r="H331" s="1177">
        <f t="shared" si="60"/>
        <v>0</v>
      </c>
      <c r="I331" s="1158">
        <v>0</v>
      </c>
      <c r="J331" s="1158">
        <v>0</v>
      </c>
      <c r="K331" s="1177"/>
      <c r="L331" s="1177"/>
      <c r="M331" s="1177">
        <f t="shared" si="61"/>
        <v>0</v>
      </c>
      <c r="N331" s="1177">
        <f t="shared" si="62"/>
        <v>0</v>
      </c>
      <c r="O331" s="1159">
        <f t="shared" si="68"/>
        <v>0</v>
      </c>
      <c r="P331" s="1014">
        <f t="shared" si="69"/>
        <v>0</v>
      </c>
    </row>
    <row r="332" spans="1:16" ht="46.5" outlineLevel="1" x14ac:dyDescent="0.25">
      <c r="A332" s="1164">
        <f t="shared" si="70"/>
        <v>14.9</v>
      </c>
      <c r="B332" s="1161" t="str">
        <f t="shared" si="70"/>
        <v>Schme-M: Retrofitting, up gradation &amp; Commissioning of Protection System for Generator, Transformer and Line at Surya Hydro Power Station</v>
      </c>
      <c r="C332" s="1162" t="str">
        <f t="shared" si="70"/>
        <v>MERC/CAPEX/2020-21/WFH/SBR/ 19</v>
      </c>
      <c r="D332" s="1081">
        <f t="shared" si="70"/>
        <v>44029</v>
      </c>
      <c r="E332" s="1163">
        <f t="shared" si="70"/>
        <v>0.69100000000000006</v>
      </c>
      <c r="F332" s="1177">
        <f t="shared" si="66"/>
        <v>0.69730939999999997</v>
      </c>
      <c r="G332" s="1177">
        <f t="shared" si="67"/>
        <v>0.68498999999999999</v>
      </c>
      <c r="H332" s="1177">
        <f t="shared" si="60"/>
        <v>1.231939999999998E-2</v>
      </c>
      <c r="I332" s="1158">
        <v>0</v>
      </c>
      <c r="J332" s="1158">
        <v>0</v>
      </c>
      <c r="K332" s="1177"/>
      <c r="L332" s="1177"/>
      <c r="M332" s="1177">
        <f t="shared" si="61"/>
        <v>0</v>
      </c>
      <c r="N332" s="1177">
        <f t="shared" si="62"/>
        <v>1.231939999999998E-2</v>
      </c>
      <c r="O332" s="1159">
        <f t="shared" si="68"/>
        <v>0</v>
      </c>
      <c r="P332" s="1014">
        <f t="shared" si="69"/>
        <v>0</v>
      </c>
    </row>
    <row r="333" spans="1:16" ht="31" outlineLevel="1" x14ac:dyDescent="0.25">
      <c r="A333" s="1165">
        <f t="shared" si="70"/>
        <v>14.1</v>
      </c>
      <c r="B333" s="1161" t="str">
        <f t="shared" si="70"/>
        <v>Schme-N: Procurement of Static excitation system at Surya Hydro Power Station.</v>
      </c>
      <c r="C333" s="1162" t="str">
        <f t="shared" si="70"/>
        <v>MERC/CAPEX/2020-21/WFH/SBR/ 19</v>
      </c>
      <c r="D333" s="1081">
        <f t="shared" si="70"/>
        <v>44029</v>
      </c>
      <c r="E333" s="1163">
        <f t="shared" si="70"/>
        <v>1.5469999999999999</v>
      </c>
      <c r="F333" s="1177">
        <f t="shared" si="66"/>
        <v>1.5469999999999999</v>
      </c>
      <c r="G333" s="1177">
        <f t="shared" si="67"/>
        <v>1.5469999999999999</v>
      </c>
      <c r="H333" s="1177">
        <f t="shared" si="60"/>
        <v>0</v>
      </c>
      <c r="I333" s="1158">
        <v>0</v>
      </c>
      <c r="J333" s="1158">
        <v>0</v>
      </c>
      <c r="K333" s="1177"/>
      <c r="L333" s="1177"/>
      <c r="M333" s="1177">
        <f t="shared" si="61"/>
        <v>0</v>
      </c>
      <c r="N333" s="1177">
        <f t="shared" si="62"/>
        <v>0</v>
      </c>
      <c r="O333" s="1159">
        <f t="shared" si="68"/>
        <v>0</v>
      </c>
      <c r="P333" s="1014">
        <f t="shared" si="69"/>
        <v>0</v>
      </c>
    </row>
    <row r="334" spans="1:16" ht="29" outlineLevel="1" x14ac:dyDescent="0.25">
      <c r="A334" s="1160">
        <f t="shared" si="70"/>
        <v>0</v>
      </c>
      <c r="B334" s="1161" t="str">
        <f t="shared" si="70"/>
        <v>IDC</v>
      </c>
      <c r="C334" s="1162" t="str">
        <f t="shared" si="70"/>
        <v>MERC/CAPEX/2020-21/WFH/SBR/ 19</v>
      </c>
      <c r="D334" s="1081">
        <f t="shared" si="70"/>
        <v>44029</v>
      </c>
      <c r="E334" s="1163">
        <f t="shared" si="70"/>
        <v>0.85</v>
      </c>
      <c r="F334" s="1177">
        <f t="shared" si="66"/>
        <v>0</v>
      </c>
      <c r="G334" s="1177">
        <f t="shared" si="67"/>
        <v>0</v>
      </c>
      <c r="H334" s="1177">
        <f t="shared" si="60"/>
        <v>0</v>
      </c>
      <c r="I334" s="1158">
        <v>0</v>
      </c>
      <c r="J334" s="1158">
        <v>0</v>
      </c>
      <c r="K334" s="1177"/>
      <c r="L334" s="1177"/>
      <c r="M334" s="1177">
        <f t="shared" si="61"/>
        <v>0</v>
      </c>
      <c r="N334" s="1177">
        <f t="shared" si="62"/>
        <v>0</v>
      </c>
      <c r="O334" s="1159">
        <f t="shared" si="68"/>
        <v>0</v>
      </c>
      <c r="P334" s="1014">
        <f t="shared" si="69"/>
        <v>0</v>
      </c>
    </row>
    <row r="335" spans="1:16" ht="15.5" outlineLevel="1" x14ac:dyDescent="0.25">
      <c r="A335" s="1160">
        <f t="shared" si="70"/>
        <v>0</v>
      </c>
      <c r="B335" s="1161">
        <f t="shared" si="70"/>
        <v>0</v>
      </c>
      <c r="C335" s="984">
        <f t="shared" si="70"/>
        <v>0</v>
      </c>
      <c r="D335" s="1081" t="str">
        <f t="shared" si="70"/>
        <v>-</v>
      </c>
      <c r="E335" s="1178">
        <f t="shared" si="70"/>
        <v>0</v>
      </c>
      <c r="F335" s="1179">
        <f t="shared" si="66"/>
        <v>0</v>
      </c>
      <c r="G335" s="1179">
        <f t="shared" si="67"/>
        <v>0</v>
      </c>
      <c r="H335" s="1179">
        <f t="shared" si="60"/>
        <v>0</v>
      </c>
      <c r="I335" s="1158">
        <v>0</v>
      </c>
      <c r="J335" s="1158">
        <v>0</v>
      </c>
      <c r="K335" s="1179"/>
      <c r="L335" s="1179"/>
      <c r="M335" s="1179">
        <f t="shared" si="61"/>
        <v>0</v>
      </c>
      <c r="N335" s="1179">
        <f t="shared" si="62"/>
        <v>0</v>
      </c>
      <c r="O335" s="1159">
        <f t="shared" si="68"/>
        <v>0</v>
      </c>
      <c r="P335" s="1014">
        <f t="shared" si="69"/>
        <v>0</v>
      </c>
    </row>
    <row r="336" spans="1:16" ht="15.5" outlineLevel="1" x14ac:dyDescent="0.25">
      <c r="A336" s="1047">
        <f t="shared" si="70"/>
        <v>0</v>
      </c>
      <c r="B336" s="1150" t="str">
        <f t="shared" si="70"/>
        <v>Yet to be approved by MERC (F Y 2024-25)</v>
      </c>
      <c r="C336" s="984">
        <f t="shared" si="70"/>
        <v>0</v>
      </c>
      <c r="D336" s="1081" t="str">
        <f t="shared" si="70"/>
        <v>-</v>
      </c>
      <c r="E336" s="1178">
        <f t="shared" si="70"/>
        <v>0</v>
      </c>
      <c r="F336" s="1179">
        <f t="shared" si="66"/>
        <v>0</v>
      </c>
      <c r="G336" s="1179">
        <f t="shared" si="67"/>
        <v>0</v>
      </c>
      <c r="H336" s="1179">
        <f t="shared" si="60"/>
        <v>0</v>
      </c>
      <c r="I336" s="1158">
        <v>0</v>
      </c>
      <c r="J336" s="1158">
        <v>0</v>
      </c>
      <c r="K336" s="1179"/>
      <c r="L336" s="1179"/>
      <c r="M336" s="1179">
        <f t="shared" si="61"/>
        <v>0</v>
      </c>
      <c r="N336" s="1179">
        <f t="shared" si="62"/>
        <v>0</v>
      </c>
    </row>
    <row r="337" spans="1:14" ht="46.5" outlineLevel="1" x14ac:dyDescent="0.25">
      <c r="A337" s="1044">
        <f t="shared" si="70"/>
        <v>1</v>
      </c>
      <c r="B337" s="1169" t="str">
        <f t="shared" si="70"/>
        <v xml:space="preserve">Post-facto DPR for “Urgent restoration and Life Enhancement
of Unit-1, 125MW M/s Fuji make Hydro Generator for
prolonged efficient operation at Ghatghar HPS                                            </v>
      </c>
      <c r="C337" s="1155">
        <f t="shared" si="70"/>
        <v>0</v>
      </c>
      <c r="D337" s="1156" t="str">
        <f t="shared" si="70"/>
        <v>-</v>
      </c>
      <c r="E337" s="1157">
        <f t="shared" si="70"/>
        <v>0</v>
      </c>
      <c r="F337" s="1180">
        <f t="shared" si="66"/>
        <v>14.34</v>
      </c>
      <c r="G337" s="1180">
        <f t="shared" si="67"/>
        <v>14.34</v>
      </c>
      <c r="H337" s="1180">
        <f t="shared" si="60"/>
        <v>0</v>
      </c>
      <c r="I337" s="1158">
        <v>0</v>
      </c>
      <c r="J337" s="1158">
        <v>0</v>
      </c>
      <c r="K337" s="1180"/>
      <c r="L337" s="1180"/>
      <c r="M337" s="1180">
        <f t="shared" si="61"/>
        <v>0</v>
      </c>
      <c r="N337" s="1180">
        <f t="shared" si="62"/>
        <v>0</v>
      </c>
    </row>
    <row r="338" spans="1:14" ht="31" outlineLevel="1" x14ac:dyDescent="0.25">
      <c r="A338" s="1044">
        <f t="shared" si="70"/>
        <v>2</v>
      </c>
      <c r="B338" s="1169" t="str">
        <f t="shared" si="70"/>
        <v>Dismantling and assembly of Unit-2 stator and other allied works at Ghatghar HPS</v>
      </c>
      <c r="C338" s="1162">
        <f t="shared" si="70"/>
        <v>0</v>
      </c>
      <c r="D338" s="1081" t="str">
        <f t="shared" si="70"/>
        <v>-</v>
      </c>
      <c r="E338" s="1163">
        <f t="shared" si="70"/>
        <v>0</v>
      </c>
      <c r="F338" s="1177">
        <f t="shared" si="66"/>
        <v>0.92</v>
      </c>
      <c r="G338" s="1177">
        <f t="shared" si="67"/>
        <v>0.92</v>
      </c>
      <c r="H338" s="1177">
        <f t="shared" si="60"/>
        <v>0</v>
      </c>
      <c r="I338" s="1158">
        <v>0</v>
      </c>
      <c r="J338" s="1158">
        <v>0</v>
      </c>
      <c r="K338" s="1177"/>
      <c r="L338" s="1177"/>
      <c r="M338" s="1177">
        <f t="shared" si="61"/>
        <v>0</v>
      </c>
      <c r="N338" s="1177">
        <f t="shared" si="62"/>
        <v>0</v>
      </c>
    </row>
    <row r="339" spans="1:14" ht="46.5" outlineLevel="1" x14ac:dyDescent="0.25">
      <c r="A339" s="1044">
        <f t="shared" si="70"/>
        <v>3</v>
      </c>
      <c r="B339" s="1169" t="str">
        <f t="shared" si="70"/>
        <v>Urgent restoration and Life Enhancement of Unit-2, 125MW M/s Fuji make Hydro Generator for prolonged efficient operation at Ghatghar HPS</v>
      </c>
      <c r="C339" s="1162">
        <f t="shared" si="70"/>
        <v>0</v>
      </c>
      <c r="D339" s="1081" t="str">
        <f t="shared" si="70"/>
        <v>-</v>
      </c>
      <c r="E339" s="1163">
        <f t="shared" si="70"/>
        <v>0</v>
      </c>
      <c r="F339" s="1177">
        <f t="shared" si="66"/>
        <v>12.69</v>
      </c>
      <c r="G339" s="1177">
        <f t="shared" si="67"/>
        <v>12.69</v>
      </c>
      <c r="H339" s="1177">
        <f t="shared" si="60"/>
        <v>0</v>
      </c>
      <c r="I339" s="1158">
        <v>0</v>
      </c>
      <c r="J339" s="1158">
        <v>0</v>
      </c>
      <c r="K339" s="1177"/>
      <c r="L339" s="1177"/>
      <c r="M339" s="1177">
        <f t="shared" si="61"/>
        <v>0</v>
      </c>
      <c r="N339" s="1177">
        <f t="shared" si="62"/>
        <v>0</v>
      </c>
    </row>
    <row r="340" spans="1:14" ht="31" outlineLevel="1" x14ac:dyDescent="0.25">
      <c r="A340" s="1168">
        <f t="shared" si="70"/>
        <v>4</v>
      </c>
      <c r="B340" s="1169" t="str">
        <f t="shared" si="70"/>
        <v>Work of unit 2 stator core top lamination replacement work of GHPS</v>
      </c>
      <c r="C340" s="1162">
        <f t="shared" si="70"/>
        <v>0</v>
      </c>
      <c r="D340" s="1081" t="str">
        <f t="shared" si="70"/>
        <v>-</v>
      </c>
      <c r="E340" s="1163">
        <f t="shared" si="70"/>
        <v>0</v>
      </c>
      <c r="F340" s="1177">
        <f t="shared" si="66"/>
        <v>1.57</v>
      </c>
      <c r="G340" s="1177">
        <f t="shared" si="67"/>
        <v>1.57</v>
      </c>
      <c r="H340" s="1177">
        <f t="shared" si="60"/>
        <v>0</v>
      </c>
      <c r="I340" s="1158">
        <v>0</v>
      </c>
      <c r="J340" s="1158">
        <v>0</v>
      </c>
      <c r="K340" s="1177"/>
      <c r="L340" s="1177"/>
      <c r="M340" s="1177">
        <f t="shared" si="61"/>
        <v>0</v>
      </c>
      <c r="N340" s="1177">
        <f t="shared" si="62"/>
        <v>0</v>
      </c>
    </row>
    <row r="341" spans="1:14" ht="15.5" outlineLevel="1" x14ac:dyDescent="0.25">
      <c r="A341" s="1011">
        <f t="shared" si="70"/>
        <v>0</v>
      </c>
      <c r="B341" s="1150" t="str">
        <f t="shared" si="70"/>
        <v>(ii) Yet to be submitted to MERC(F Y 2025-26)</v>
      </c>
      <c r="C341" s="1162">
        <f t="shared" si="70"/>
        <v>0</v>
      </c>
      <c r="D341" s="1081" t="str">
        <f t="shared" si="70"/>
        <v>-</v>
      </c>
      <c r="E341" s="1163">
        <f t="shared" si="70"/>
        <v>0</v>
      </c>
      <c r="F341" s="1177">
        <f t="shared" si="66"/>
        <v>0</v>
      </c>
      <c r="G341" s="1177">
        <f t="shared" si="67"/>
        <v>0</v>
      </c>
      <c r="H341" s="1177">
        <f t="shared" si="60"/>
        <v>0</v>
      </c>
      <c r="I341" s="1158">
        <v>0</v>
      </c>
      <c r="J341" s="1158">
        <v>0</v>
      </c>
      <c r="K341" s="1177"/>
      <c r="L341" s="1177"/>
      <c r="M341" s="1177">
        <f t="shared" si="61"/>
        <v>0</v>
      </c>
      <c r="N341" s="1177">
        <f t="shared" si="62"/>
        <v>0</v>
      </c>
    </row>
    <row r="342" spans="1:14" ht="15.5" outlineLevel="1" x14ac:dyDescent="0.25">
      <c r="A342" s="1011">
        <f t="shared" si="70"/>
        <v>0</v>
      </c>
      <c r="B342" s="1150" t="str">
        <f t="shared" si="70"/>
        <v>DPR 1</v>
      </c>
      <c r="C342" s="1162">
        <f t="shared" si="70"/>
        <v>0</v>
      </c>
      <c r="D342" s="1081" t="str">
        <f t="shared" si="70"/>
        <v>-</v>
      </c>
      <c r="E342" s="1163">
        <f t="shared" si="70"/>
        <v>0</v>
      </c>
      <c r="F342" s="1177">
        <f t="shared" si="66"/>
        <v>0</v>
      </c>
      <c r="G342" s="1177">
        <f t="shared" si="67"/>
        <v>0</v>
      </c>
      <c r="H342" s="1177">
        <f t="shared" si="60"/>
        <v>0</v>
      </c>
      <c r="I342" s="1158">
        <v>0</v>
      </c>
      <c r="J342" s="1158">
        <v>0</v>
      </c>
      <c r="K342" s="1177"/>
      <c r="L342" s="1177"/>
      <c r="M342" s="1177">
        <f t="shared" si="61"/>
        <v>0</v>
      </c>
      <c r="N342" s="1177">
        <f t="shared" si="62"/>
        <v>0</v>
      </c>
    </row>
    <row r="343" spans="1:14" ht="31" outlineLevel="1" x14ac:dyDescent="0.25">
      <c r="A343" s="1160">
        <f t="shared" si="70"/>
        <v>1</v>
      </c>
      <c r="B343" s="1169" t="str">
        <f t="shared" si="70"/>
        <v xml:space="preserve">Procurement &amp; commissioning of Battery bank, 55 cells of 2V  2035AH YHP39 Exide make at Ghatghar HPS </v>
      </c>
      <c r="C343" s="1162">
        <f t="shared" si="70"/>
        <v>0</v>
      </c>
      <c r="D343" s="1081" t="str">
        <f t="shared" si="70"/>
        <v>-</v>
      </c>
      <c r="E343" s="1163">
        <f t="shared" si="70"/>
        <v>0</v>
      </c>
      <c r="F343" s="1177">
        <f t="shared" si="66"/>
        <v>0</v>
      </c>
      <c r="G343" s="1177">
        <f t="shared" si="67"/>
        <v>0</v>
      </c>
      <c r="H343" s="1177">
        <f t="shared" si="60"/>
        <v>0</v>
      </c>
      <c r="I343" s="1158">
        <v>1.25</v>
      </c>
      <c r="J343" s="1158">
        <v>1.25</v>
      </c>
      <c r="K343" s="1177"/>
      <c r="L343" s="1177"/>
      <c r="M343" s="1177">
        <f t="shared" si="61"/>
        <v>1.25</v>
      </c>
      <c r="N343" s="1177">
        <f t="shared" si="62"/>
        <v>0</v>
      </c>
    </row>
    <row r="344" spans="1:14" ht="31" outlineLevel="1" x14ac:dyDescent="0.25">
      <c r="A344" s="1160">
        <f t="shared" si="70"/>
        <v>2</v>
      </c>
      <c r="B344" s="1169" t="str">
        <f t="shared" si="70"/>
        <v xml:space="preserve">Complete refurbishment of Stator frame , core &amp; winding of 01 No generator stator at Ghatghar HPS. </v>
      </c>
      <c r="C344" s="1162">
        <f t="shared" si="70"/>
        <v>0</v>
      </c>
      <c r="D344" s="1081" t="str">
        <f t="shared" si="70"/>
        <v>-</v>
      </c>
      <c r="E344" s="1163">
        <f t="shared" si="70"/>
        <v>0</v>
      </c>
      <c r="F344" s="1177">
        <f t="shared" si="66"/>
        <v>0</v>
      </c>
      <c r="G344" s="1177">
        <f t="shared" si="67"/>
        <v>0</v>
      </c>
      <c r="H344" s="1177">
        <f t="shared" si="60"/>
        <v>0</v>
      </c>
      <c r="I344" s="1158">
        <v>23.9</v>
      </c>
      <c r="J344" s="1158">
        <v>23.9</v>
      </c>
      <c r="K344" s="1177"/>
      <c r="L344" s="1177"/>
      <c r="M344" s="1177">
        <f t="shared" si="61"/>
        <v>23.9</v>
      </c>
      <c r="N344" s="1177">
        <f t="shared" si="62"/>
        <v>0</v>
      </c>
    </row>
    <row r="345" spans="1:14" ht="15.5" outlineLevel="1" x14ac:dyDescent="0.25">
      <c r="A345" s="1160">
        <f t="shared" ref="A345:E360" si="71">A247</f>
        <v>3</v>
      </c>
      <c r="B345" s="1169" t="str">
        <f t="shared" si="71"/>
        <v xml:space="preserve">Generator Circuit breaker Electrical OH at Ghatghar HPS. </v>
      </c>
      <c r="C345" s="1162">
        <f t="shared" si="71"/>
        <v>0</v>
      </c>
      <c r="D345" s="1156" t="str">
        <f t="shared" si="71"/>
        <v>-</v>
      </c>
      <c r="E345" s="1157">
        <f t="shared" si="71"/>
        <v>0</v>
      </c>
      <c r="F345" s="1180">
        <f t="shared" si="66"/>
        <v>0</v>
      </c>
      <c r="G345" s="1180">
        <f t="shared" si="67"/>
        <v>0</v>
      </c>
      <c r="H345" s="1180">
        <f t="shared" si="60"/>
        <v>0</v>
      </c>
      <c r="I345" s="1158">
        <v>7.2</v>
      </c>
      <c r="J345" s="1158">
        <v>7.2</v>
      </c>
      <c r="K345" s="1180"/>
      <c r="L345" s="1180"/>
      <c r="M345" s="1180">
        <f t="shared" si="61"/>
        <v>7.2</v>
      </c>
      <c r="N345" s="1180">
        <f t="shared" si="62"/>
        <v>0</v>
      </c>
    </row>
    <row r="346" spans="1:14" ht="15.5" outlineLevel="1" x14ac:dyDescent="0.25">
      <c r="A346" s="1160">
        <f t="shared" si="71"/>
        <v>4</v>
      </c>
      <c r="B346" s="1169" t="str">
        <f t="shared" si="71"/>
        <v xml:space="preserve">Water filter treatment plant and pipeline at Ghatghar HPS. </v>
      </c>
      <c r="C346" s="1162">
        <f t="shared" si="71"/>
        <v>0</v>
      </c>
      <c r="D346" s="1081" t="str">
        <f t="shared" si="71"/>
        <v>-</v>
      </c>
      <c r="E346" s="1163">
        <f t="shared" si="71"/>
        <v>0</v>
      </c>
      <c r="F346" s="1177">
        <f t="shared" si="66"/>
        <v>0</v>
      </c>
      <c r="G346" s="1177">
        <f t="shared" si="67"/>
        <v>0</v>
      </c>
      <c r="H346" s="1177">
        <f t="shared" si="60"/>
        <v>0</v>
      </c>
      <c r="I346" s="1158">
        <v>1.25</v>
      </c>
      <c r="J346" s="1158">
        <v>1.25</v>
      </c>
      <c r="K346" s="1177"/>
      <c r="L346" s="1177"/>
      <c r="M346" s="1177">
        <f t="shared" si="61"/>
        <v>1.25</v>
      </c>
      <c r="N346" s="1177">
        <f t="shared" si="62"/>
        <v>0</v>
      </c>
    </row>
    <row r="347" spans="1:14" ht="15.5" outlineLevel="1" x14ac:dyDescent="0.25">
      <c r="A347" s="1160">
        <f t="shared" si="71"/>
        <v>0</v>
      </c>
      <c r="B347" s="1150" t="str">
        <f t="shared" si="71"/>
        <v>DPR 2</v>
      </c>
      <c r="C347" s="1162">
        <f t="shared" si="71"/>
        <v>0</v>
      </c>
      <c r="D347" s="1081" t="str">
        <f t="shared" si="71"/>
        <v>-</v>
      </c>
      <c r="E347" s="1163">
        <f t="shared" si="71"/>
        <v>0</v>
      </c>
      <c r="F347" s="1177">
        <f t="shared" si="66"/>
        <v>0</v>
      </c>
      <c r="G347" s="1177">
        <f t="shared" si="67"/>
        <v>0</v>
      </c>
      <c r="H347" s="1177">
        <f t="shared" si="60"/>
        <v>0</v>
      </c>
      <c r="I347" s="1158">
        <v>0</v>
      </c>
      <c r="J347" s="1158">
        <v>0</v>
      </c>
      <c r="K347" s="1177"/>
      <c r="L347" s="1177"/>
      <c r="M347" s="1177">
        <f t="shared" si="61"/>
        <v>0</v>
      </c>
      <c r="N347" s="1177">
        <f t="shared" si="62"/>
        <v>0</v>
      </c>
    </row>
    <row r="348" spans="1:14" ht="31" outlineLevel="1" x14ac:dyDescent="0.25">
      <c r="A348" s="1011">
        <f t="shared" si="71"/>
        <v>1</v>
      </c>
      <c r="B348" s="1170" t="str">
        <f t="shared" si="71"/>
        <v xml:space="preserve">Design,supply,errection,testing &amp; commissioning of  digital governing system at Paithan HPS.                        </v>
      </c>
      <c r="C348" s="1162">
        <f t="shared" si="71"/>
        <v>0</v>
      </c>
      <c r="D348" s="1081" t="str">
        <f t="shared" si="71"/>
        <v>-</v>
      </c>
      <c r="E348" s="1163">
        <f t="shared" si="71"/>
        <v>0</v>
      </c>
      <c r="F348" s="1177">
        <f t="shared" si="66"/>
        <v>0</v>
      </c>
      <c r="G348" s="1177">
        <f t="shared" si="67"/>
        <v>0</v>
      </c>
      <c r="H348" s="1177">
        <f t="shared" si="60"/>
        <v>0</v>
      </c>
      <c r="I348" s="1158">
        <v>4.5</v>
      </c>
      <c r="J348" s="1158">
        <v>4.5</v>
      </c>
      <c r="K348" s="1177"/>
      <c r="L348" s="1177"/>
      <c r="M348" s="1177">
        <f t="shared" si="61"/>
        <v>4.5</v>
      </c>
      <c r="N348" s="1177">
        <f t="shared" si="62"/>
        <v>0</v>
      </c>
    </row>
    <row r="349" spans="1:14" ht="31" outlineLevel="1" x14ac:dyDescent="0.25">
      <c r="A349" s="1011">
        <f t="shared" si="71"/>
        <v>2</v>
      </c>
      <c r="B349" s="1169" t="str">
        <f t="shared" si="71"/>
        <v xml:space="preserve">Design,Supply ,testing ,erection and commissioing of DAVR system at Paithan HPS.                                                     </v>
      </c>
      <c r="C349" s="1162">
        <f t="shared" si="71"/>
        <v>0</v>
      </c>
      <c r="D349" s="1081" t="str">
        <f t="shared" si="71"/>
        <v>-</v>
      </c>
      <c r="E349" s="1163">
        <f t="shared" si="71"/>
        <v>0</v>
      </c>
      <c r="F349" s="1177">
        <f t="shared" si="66"/>
        <v>0</v>
      </c>
      <c r="G349" s="1177">
        <f t="shared" si="67"/>
        <v>0</v>
      </c>
      <c r="H349" s="1177">
        <f t="shared" si="60"/>
        <v>0</v>
      </c>
      <c r="I349" s="1158">
        <v>2</v>
      </c>
      <c r="J349" s="1158">
        <v>2</v>
      </c>
      <c r="K349" s="1177"/>
      <c r="L349" s="1177"/>
      <c r="M349" s="1177">
        <f t="shared" si="61"/>
        <v>2</v>
      </c>
      <c r="N349" s="1177">
        <f t="shared" si="62"/>
        <v>0</v>
      </c>
    </row>
    <row r="350" spans="1:14" ht="31" outlineLevel="1" x14ac:dyDescent="0.25">
      <c r="A350" s="1011">
        <f t="shared" si="71"/>
        <v>3</v>
      </c>
      <c r="B350" s="1169" t="str">
        <f t="shared" si="71"/>
        <v xml:space="preserve">Design,supply,testing ,erection and commissioing of DCS control system at Paithan HPS.                                                       </v>
      </c>
      <c r="C350" s="1162">
        <f t="shared" si="71"/>
        <v>0</v>
      </c>
      <c r="D350" s="1081" t="str">
        <f t="shared" si="71"/>
        <v>-</v>
      </c>
      <c r="E350" s="1163">
        <f t="shared" si="71"/>
        <v>0</v>
      </c>
      <c r="F350" s="1177">
        <f t="shared" si="66"/>
        <v>0</v>
      </c>
      <c r="G350" s="1177">
        <f t="shared" si="67"/>
        <v>0</v>
      </c>
      <c r="H350" s="1177">
        <f t="shared" si="60"/>
        <v>0</v>
      </c>
      <c r="I350" s="1158">
        <v>1.7</v>
      </c>
      <c r="J350" s="1158">
        <v>1.7</v>
      </c>
      <c r="K350" s="1177"/>
      <c r="L350" s="1177"/>
      <c r="M350" s="1177">
        <f t="shared" si="61"/>
        <v>1.7</v>
      </c>
      <c r="N350" s="1177">
        <f t="shared" si="62"/>
        <v>0</v>
      </c>
    </row>
    <row r="351" spans="1:14" ht="31" outlineLevel="1" x14ac:dyDescent="0.25">
      <c r="A351" s="1011">
        <f t="shared" si="71"/>
        <v>4</v>
      </c>
      <c r="B351" s="1169" t="str">
        <f t="shared" si="71"/>
        <v xml:space="preserve">Design,supply ,testing ,erection and commissioing of Automated Co2 fire extinguishers system  at Paithan HPS.                                         </v>
      </c>
      <c r="C351" s="1162">
        <f t="shared" si="71"/>
        <v>0</v>
      </c>
      <c r="D351" s="1081" t="str">
        <f t="shared" si="71"/>
        <v>-</v>
      </c>
      <c r="E351" s="1163">
        <f t="shared" si="71"/>
        <v>0</v>
      </c>
      <c r="F351" s="1177">
        <f t="shared" si="66"/>
        <v>0</v>
      </c>
      <c r="G351" s="1177">
        <f t="shared" si="67"/>
        <v>0</v>
      </c>
      <c r="H351" s="1177">
        <f t="shared" si="60"/>
        <v>0</v>
      </c>
      <c r="I351" s="1158">
        <v>0.35</v>
      </c>
      <c r="J351" s="1158">
        <v>0.35</v>
      </c>
      <c r="K351" s="1177"/>
      <c r="L351" s="1177"/>
      <c r="M351" s="1177">
        <f t="shared" si="61"/>
        <v>0.35</v>
      </c>
      <c r="N351" s="1177">
        <f t="shared" si="62"/>
        <v>0</v>
      </c>
    </row>
    <row r="352" spans="1:14" ht="31" outlineLevel="1" x14ac:dyDescent="0.25">
      <c r="A352" s="1011">
        <f t="shared" si="71"/>
        <v>5</v>
      </c>
      <c r="B352" s="1169" t="str">
        <f t="shared" si="71"/>
        <v xml:space="preserve">Design,Supply ,testing ,erection and commissioing of Numerical protection system at Yeldari HPS.                                        </v>
      </c>
      <c r="C352" s="1162">
        <f t="shared" si="71"/>
        <v>0</v>
      </c>
      <c r="D352" s="1081" t="str">
        <f t="shared" si="71"/>
        <v>-</v>
      </c>
      <c r="E352" s="1163">
        <f t="shared" si="71"/>
        <v>0</v>
      </c>
      <c r="F352" s="1177">
        <f t="shared" si="66"/>
        <v>0</v>
      </c>
      <c r="G352" s="1177">
        <f t="shared" si="67"/>
        <v>0</v>
      </c>
      <c r="H352" s="1177">
        <f t="shared" si="60"/>
        <v>0</v>
      </c>
      <c r="I352" s="1158">
        <v>2.5499999999999998</v>
      </c>
      <c r="J352" s="1158">
        <v>2.5499999999999998</v>
      </c>
      <c r="K352" s="1177"/>
      <c r="L352" s="1177"/>
      <c r="M352" s="1177">
        <f t="shared" si="61"/>
        <v>2.5499999999999998</v>
      </c>
      <c r="N352" s="1177">
        <f t="shared" si="62"/>
        <v>0</v>
      </c>
    </row>
    <row r="353" spans="1:14" ht="31" outlineLevel="1" x14ac:dyDescent="0.25">
      <c r="A353" s="1011">
        <f t="shared" si="71"/>
        <v>6</v>
      </c>
      <c r="B353" s="1169" t="str">
        <f t="shared" si="71"/>
        <v xml:space="preserve">Design,Supply ,testing ,erection and commissioing of C&amp;I control &amp; measurement with SCADA at Yeldari HPS.                                                           </v>
      </c>
      <c r="C353" s="1162">
        <f t="shared" si="71"/>
        <v>0</v>
      </c>
      <c r="D353" s="1081" t="str">
        <f t="shared" si="71"/>
        <v>-</v>
      </c>
      <c r="E353" s="1163">
        <f t="shared" si="71"/>
        <v>0</v>
      </c>
      <c r="F353" s="1177">
        <f t="shared" si="66"/>
        <v>0</v>
      </c>
      <c r="G353" s="1177">
        <f t="shared" si="67"/>
        <v>0</v>
      </c>
      <c r="H353" s="1177">
        <f t="shared" si="60"/>
        <v>0</v>
      </c>
      <c r="I353" s="1158">
        <v>1</v>
      </c>
      <c r="J353" s="1158">
        <v>1</v>
      </c>
      <c r="K353" s="1177"/>
      <c r="L353" s="1177"/>
      <c r="M353" s="1177">
        <f t="shared" si="61"/>
        <v>1</v>
      </c>
      <c r="N353" s="1177">
        <f t="shared" si="62"/>
        <v>0</v>
      </c>
    </row>
    <row r="354" spans="1:14" ht="31" outlineLevel="1" x14ac:dyDescent="0.25">
      <c r="A354" s="1011">
        <f t="shared" si="71"/>
        <v>7</v>
      </c>
      <c r="B354" s="1169" t="str">
        <f t="shared" si="71"/>
        <v xml:space="preserve">Design,Supply ,testing ,erection and commissioing of DAVR system at Yeldari HPS                                                        </v>
      </c>
      <c r="C354" s="1162">
        <f t="shared" si="71"/>
        <v>0</v>
      </c>
      <c r="D354" s="1081" t="str">
        <f t="shared" si="71"/>
        <v>-</v>
      </c>
      <c r="E354" s="1163">
        <f t="shared" si="71"/>
        <v>0</v>
      </c>
      <c r="F354" s="1177">
        <f t="shared" si="66"/>
        <v>0</v>
      </c>
      <c r="G354" s="1177">
        <f t="shared" si="67"/>
        <v>0</v>
      </c>
      <c r="H354" s="1177">
        <f t="shared" si="60"/>
        <v>0</v>
      </c>
      <c r="I354" s="1158">
        <v>6</v>
      </c>
      <c r="J354" s="1158">
        <v>6</v>
      </c>
      <c r="K354" s="1177"/>
      <c r="L354" s="1177"/>
      <c r="M354" s="1177">
        <f t="shared" si="61"/>
        <v>6</v>
      </c>
      <c r="N354" s="1177">
        <f t="shared" si="62"/>
        <v>0</v>
      </c>
    </row>
    <row r="355" spans="1:14" ht="31" outlineLevel="1" x14ac:dyDescent="0.25">
      <c r="A355" s="1011">
        <f t="shared" si="71"/>
        <v>8</v>
      </c>
      <c r="B355" s="1169" t="str">
        <f t="shared" si="71"/>
        <v xml:space="preserve">Design,supply,errection,testing &amp; commissioning of  digital governing system at Yeldari HPS.                                           </v>
      </c>
      <c r="C355" s="1162">
        <f t="shared" si="71"/>
        <v>0</v>
      </c>
      <c r="D355" s="1081" t="str">
        <f t="shared" si="71"/>
        <v>-</v>
      </c>
      <c r="E355" s="1163">
        <f t="shared" si="71"/>
        <v>0</v>
      </c>
      <c r="F355" s="1177">
        <f t="shared" si="66"/>
        <v>0</v>
      </c>
      <c r="G355" s="1177">
        <f t="shared" si="67"/>
        <v>0</v>
      </c>
      <c r="H355" s="1177">
        <f t="shared" si="60"/>
        <v>0</v>
      </c>
      <c r="I355" s="1158">
        <v>7</v>
      </c>
      <c r="J355" s="1158">
        <v>7</v>
      </c>
      <c r="K355" s="1177"/>
      <c r="L355" s="1177"/>
      <c r="M355" s="1177">
        <f t="shared" si="61"/>
        <v>7</v>
      </c>
      <c r="N355" s="1177">
        <f t="shared" si="62"/>
        <v>0</v>
      </c>
    </row>
    <row r="356" spans="1:14" ht="15.5" outlineLevel="1" x14ac:dyDescent="0.25">
      <c r="A356" s="1168">
        <f t="shared" si="71"/>
        <v>0</v>
      </c>
      <c r="B356" s="1150" t="str">
        <f t="shared" si="71"/>
        <v>DPR 3 (CIVIL)</v>
      </c>
      <c r="C356" s="1162">
        <f t="shared" si="71"/>
        <v>0</v>
      </c>
      <c r="D356" s="1081" t="str">
        <f t="shared" si="71"/>
        <v>-</v>
      </c>
      <c r="E356" s="1163">
        <f t="shared" si="71"/>
        <v>0</v>
      </c>
      <c r="F356" s="1177">
        <f t="shared" si="66"/>
        <v>0</v>
      </c>
      <c r="G356" s="1177">
        <f t="shared" si="67"/>
        <v>0</v>
      </c>
      <c r="H356" s="1177">
        <f t="shared" si="60"/>
        <v>0</v>
      </c>
      <c r="I356" s="1158">
        <v>0</v>
      </c>
      <c r="J356" s="1158">
        <v>0</v>
      </c>
      <c r="K356" s="1177"/>
      <c r="L356" s="1177"/>
      <c r="M356" s="1177">
        <f t="shared" si="61"/>
        <v>0</v>
      </c>
      <c r="N356" s="1177">
        <f t="shared" si="62"/>
        <v>0</v>
      </c>
    </row>
    <row r="357" spans="1:14" ht="31" outlineLevel="1" x14ac:dyDescent="0.25">
      <c r="A357" s="1011">
        <f t="shared" si="71"/>
        <v>1</v>
      </c>
      <c r="B357" s="1169" t="str">
        <f t="shared" si="71"/>
        <v>Fortification and Rock fall protection Measures in Vaitarna Hydro Electric Power Project  Premises ,Tal- Igatpuri , Dist-Nashik.</v>
      </c>
      <c r="C357" s="1162">
        <f t="shared" si="71"/>
        <v>0</v>
      </c>
      <c r="D357" s="1081" t="str">
        <f t="shared" si="71"/>
        <v>-</v>
      </c>
      <c r="E357" s="1163">
        <f t="shared" si="71"/>
        <v>0</v>
      </c>
      <c r="F357" s="1177">
        <f t="shared" si="66"/>
        <v>0</v>
      </c>
      <c r="G357" s="1177">
        <f t="shared" si="67"/>
        <v>0</v>
      </c>
      <c r="H357" s="1177">
        <f t="shared" si="60"/>
        <v>0</v>
      </c>
      <c r="I357" s="1158">
        <v>36.53</v>
      </c>
      <c r="J357" s="1158">
        <v>36.53</v>
      </c>
      <c r="K357" s="1177"/>
      <c r="L357" s="1177"/>
      <c r="M357" s="1177">
        <f t="shared" si="61"/>
        <v>36.53</v>
      </c>
      <c r="N357" s="1177">
        <f t="shared" si="62"/>
        <v>0</v>
      </c>
    </row>
    <row r="358" spans="1:14" ht="31" outlineLevel="1" x14ac:dyDescent="0.25">
      <c r="A358" s="1011">
        <f t="shared" si="71"/>
        <v>2</v>
      </c>
      <c r="B358" s="1169" t="str">
        <f t="shared" si="71"/>
        <v>Work of construction of Bituminous approach road to Portal Switchyard at Vaitarna HPS.</v>
      </c>
      <c r="C358" s="1162">
        <f t="shared" si="71"/>
        <v>0</v>
      </c>
      <c r="D358" s="1081" t="str">
        <f t="shared" si="71"/>
        <v>-</v>
      </c>
      <c r="E358" s="1163">
        <f t="shared" si="71"/>
        <v>0</v>
      </c>
      <c r="F358" s="1177">
        <f t="shared" si="66"/>
        <v>0</v>
      </c>
      <c r="G358" s="1177">
        <f t="shared" si="67"/>
        <v>0</v>
      </c>
      <c r="H358" s="1177">
        <f t="shared" si="60"/>
        <v>0</v>
      </c>
      <c r="I358" s="1158">
        <v>2.77</v>
      </c>
      <c r="J358" s="1158">
        <v>2.77</v>
      </c>
      <c r="K358" s="1177"/>
      <c r="L358" s="1177"/>
      <c r="M358" s="1177">
        <f t="shared" si="61"/>
        <v>2.77</v>
      </c>
      <c r="N358" s="1177">
        <f t="shared" si="62"/>
        <v>0</v>
      </c>
    </row>
    <row r="359" spans="1:14" ht="31" outlineLevel="1" x14ac:dyDescent="0.25">
      <c r="A359" s="1011">
        <f t="shared" si="71"/>
        <v>3</v>
      </c>
      <c r="B359" s="1169" t="str">
        <f t="shared" si="71"/>
        <v>Work of construction of Gabion wall structure on down stream of nallah near Tunnel  at Vaitarna HPS.</v>
      </c>
      <c r="C359" s="1162">
        <f t="shared" si="71"/>
        <v>0</v>
      </c>
      <c r="D359" s="1081" t="str">
        <f t="shared" si="71"/>
        <v>-</v>
      </c>
      <c r="E359" s="1163">
        <f t="shared" si="71"/>
        <v>0</v>
      </c>
      <c r="F359" s="1177">
        <f t="shared" si="66"/>
        <v>0</v>
      </c>
      <c r="G359" s="1177">
        <f t="shared" si="67"/>
        <v>0</v>
      </c>
      <c r="H359" s="1177">
        <f t="shared" si="60"/>
        <v>0</v>
      </c>
      <c r="I359" s="1158">
        <v>0.26</v>
      </c>
      <c r="J359" s="1158">
        <v>0.26</v>
      </c>
      <c r="K359" s="1177"/>
      <c r="L359" s="1177"/>
      <c r="M359" s="1177">
        <f t="shared" si="61"/>
        <v>0.26</v>
      </c>
      <c r="N359" s="1177">
        <f t="shared" si="62"/>
        <v>0</v>
      </c>
    </row>
    <row r="360" spans="1:14" ht="15.5" outlineLevel="1" x14ac:dyDescent="0.25">
      <c r="A360" s="1171">
        <f t="shared" si="71"/>
        <v>0</v>
      </c>
      <c r="B360" s="1150" t="str">
        <f t="shared" si="71"/>
        <v>(ii) Yet to be submitted to MERC(F Y 2026-27)</v>
      </c>
      <c r="C360" s="1162">
        <f t="shared" si="71"/>
        <v>0</v>
      </c>
      <c r="D360" s="1081" t="str">
        <f t="shared" si="71"/>
        <v>-</v>
      </c>
      <c r="E360" s="1163">
        <f t="shared" si="71"/>
        <v>0</v>
      </c>
      <c r="F360" s="1177">
        <f t="shared" si="66"/>
        <v>0</v>
      </c>
      <c r="G360" s="1177">
        <f t="shared" si="67"/>
        <v>0</v>
      </c>
      <c r="H360" s="1177">
        <f t="shared" si="60"/>
        <v>0</v>
      </c>
      <c r="I360" s="1158">
        <v>0</v>
      </c>
      <c r="J360" s="1158">
        <v>0</v>
      </c>
      <c r="K360" s="1177"/>
      <c r="L360" s="1177"/>
      <c r="M360" s="1177">
        <f t="shared" si="61"/>
        <v>0</v>
      </c>
      <c r="N360" s="1177">
        <f t="shared" si="62"/>
        <v>0</v>
      </c>
    </row>
    <row r="361" spans="1:14" ht="15.5" outlineLevel="1" x14ac:dyDescent="0.25">
      <c r="A361" s="1168">
        <f t="shared" ref="A361:E376" si="72">A263</f>
        <v>0</v>
      </c>
      <c r="B361" s="1150" t="str">
        <f t="shared" si="72"/>
        <v>DPR 4</v>
      </c>
      <c r="C361" s="1162">
        <f t="shared" si="72"/>
        <v>0</v>
      </c>
      <c r="D361" s="1081" t="str">
        <f t="shared" si="72"/>
        <v>-</v>
      </c>
      <c r="E361" s="1163">
        <f t="shared" si="72"/>
        <v>0</v>
      </c>
      <c r="F361" s="1177">
        <f t="shared" si="66"/>
        <v>0</v>
      </c>
      <c r="G361" s="1177">
        <f t="shared" si="67"/>
        <v>0</v>
      </c>
      <c r="H361" s="1177">
        <f t="shared" si="60"/>
        <v>0</v>
      </c>
      <c r="I361" s="1158">
        <v>0</v>
      </c>
      <c r="J361" s="1158">
        <v>0</v>
      </c>
      <c r="K361" s="1177"/>
      <c r="L361" s="1177"/>
      <c r="M361" s="1177">
        <f t="shared" si="61"/>
        <v>0</v>
      </c>
      <c r="N361" s="1177">
        <f t="shared" si="62"/>
        <v>0</v>
      </c>
    </row>
    <row r="362" spans="1:14" ht="62" outlineLevel="1" x14ac:dyDescent="0.25">
      <c r="A362" s="1011">
        <f t="shared" si="72"/>
        <v>1</v>
      </c>
      <c r="B362" s="1169" t="str">
        <f t="shared" si="72"/>
        <v xml:space="preserve">Comprehensive work of redesign,manufacture, supply erection, testing &amp; commissioning of Digital Governing, Protection  and control system Consisting of SCADA on single point responsibility at 60 MW Vaitarna HPS.                                                                 </v>
      </c>
      <c r="C362" s="1162">
        <f t="shared" si="72"/>
        <v>0</v>
      </c>
      <c r="D362" s="1081" t="str">
        <f t="shared" si="72"/>
        <v>-</v>
      </c>
      <c r="E362" s="1163">
        <f t="shared" si="72"/>
        <v>0</v>
      </c>
      <c r="F362" s="1177">
        <f t="shared" si="66"/>
        <v>0</v>
      </c>
      <c r="G362" s="1177">
        <f t="shared" si="67"/>
        <v>0</v>
      </c>
      <c r="H362" s="1177">
        <f t="shared" si="60"/>
        <v>0</v>
      </c>
      <c r="I362" s="1158">
        <v>0</v>
      </c>
      <c r="J362" s="1158">
        <v>0</v>
      </c>
      <c r="K362" s="1177"/>
      <c r="L362" s="1177"/>
      <c r="M362" s="1177">
        <f t="shared" si="61"/>
        <v>0</v>
      </c>
      <c r="N362" s="1177">
        <f t="shared" si="62"/>
        <v>0</v>
      </c>
    </row>
    <row r="363" spans="1:14" ht="46.5" outlineLevel="1" x14ac:dyDescent="0.25">
      <c r="A363" s="1011">
        <f t="shared" si="72"/>
        <v>2</v>
      </c>
      <c r="B363" s="1169" t="str">
        <f t="shared" si="72"/>
        <v xml:space="preserve">Comprehensive work of Replacement, Modification,upgradation of cooling water system along with replacement of pipeline,pumps,panel etc at 60 MW Vaitarna HPS.                                           </v>
      </c>
      <c r="C363" s="1162">
        <f t="shared" si="72"/>
        <v>0</v>
      </c>
      <c r="D363" s="1081" t="str">
        <f t="shared" si="72"/>
        <v>-</v>
      </c>
      <c r="E363" s="1163">
        <f t="shared" si="72"/>
        <v>0</v>
      </c>
      <c r="F363" s="1177">
        <f t="shared" si="66"/>
        <v>0</v>
      </c>
      <c r="G363" s="1177">
        <f t="shared" si="67"/>
        <v>0</v>
      </c>
      <c r="H363" s="1177">
        <f t="shared" si="60"/>
        <v>0</v>
      </c>
      <c r="I363" s="1158">
        <v>0</v>
      </c>
      <c r="J363" s="1158">
        <v>0</v>
      </c>
      <c r="K363" s="1177"/>
      <c r="L363" s="1177"/>
      <c r="M363" s="1177">
        <f t="shared" si="61"/>
        <v>0</v>
      </c>
      <c r="N363" s="1177">
        <f t="shared" si="62"/>
        <v>0</v>
      </c>
    </row>
    <row r="364" spans="1:14" ht="31" outlineLevel="1" x14ac:dyDescent="0.25">
      <c r="A364" s="1011">
        <f t="shared" si="72"/>
        <v>3</v>
      </c>
      <c r="B364" s="1169" t="str">
        <f t="shared" si="72"/>
        <v xml:space="preserve"> Design, Manufacture, Supply, Erection, Testing and commissioning of 1000 KVA UAT &amp; EAT at 60MW Vaitarna HPS.                                                                  </v>
      </c>
      <c r="C364" s="1162">
        <f t="shared" si="72"/>
        <v>0</v>
      </c>
      <c r="D364" s="1081" t="str">
        <f t="shared" si="72"/>
        <v>-</v>
      </c>
      <c r="E364" s="1163">
        <f t="shared" si="72"/>
        <v>0</v>
      </c>
      <c r="F364" s="1177">
        <f t="shared" si="66"/>
        <v>0</v>
      </c>
      <c r="G364" s="1177">
        <f t="shared" si="67"/>
        <v>0</v>
      </c>
      <c r="H364" s="1177">
        <f t="shared" si="60"/>
        <v>0</v>
      </c>
      <c r="I364" s="1158">
        <v>0</v>
      </c>
      <c r="J364" s="1158">
        <v>0</v>
      </c>
      <c r="K364" s="1177"/>
      <c r="L364" s="1177"/>
      <c r="M364" s="1177">
        <f t="shared" si="61"/>
        <v>0</v>
      </c>
      <c r="N364" s="1177">
        <f t="shared" si="62"/>
        <v>0</v>
      </c>
    </row>
    <row r="365" spans="1:14" ht="31" outlineLevel="1" x14ac:dyDescent="0.25">
      <c r="A365" s="1011">
        <f t="shared" si="72"/>
        <v>4</v>
      </c>
      <c r="B365" s="1169" t="str">
        <f t="shared" si="72"/>
        <v xml:space="preserve">Supply, Erection, Testing &amp; Commissioning of 500 KVA DG set along with cable and changeover system at 60 MW Vaitarna HPS                                          </v>
      </c>
      <c r="C365" s="1162">
        <f t="shared" si="72"/>
        <v>0</v>
      </c>
      <c r="D365" s="1081" t="str">
        <f t="shared" si="72"/>
        <v>-</v>
      </c>
      <c r="E365" s="1163">
        <f t="shared" si="72"/>
        <v>0</v>
      </c>
      <c r="F365" s="1177">
        <f t="shared" si="66"/>
        <v>0</v>
      </c>
      <c r="G365" s="1177">
        <f t="shared" si="67"/>
        <v>0</v>
      </c>
      <c r="H365" s="1177">
        <f t="shared" si="60"/>
        <v>0</v>
      </c>
      <c r="I365" s="1158">
        <v>0</v>
      </c>
      <c r="J365" s="1158">
        <v>0</v>
      </c>
      <c r="K365" s="1177"/>
      <c r="L365" s="1177"/>
      <c r="M365" s="1177">
        <f t="shared" si="61"/>
        <v>0</v>
      </c>
      <c r="N365" s="1177">
        <f t="shared" si="62"/>
        <v>0</v>
      </c>
    </row>
    <row r="366" spans="1:14" ht="77.5" outlineLevel="1" x14ac:dyDescent="0.25">
      <c r="A366" s="1011">
        <f t="shared" si="72"/>
        <v>5</v>
      </c>
      <c r="B366" s="1169" t="str">
        <f t="shared" si="72"/>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366" s="1162">
        <f t="shared" si="72"/>
        <v>0</v>
      </c>
      <c r="D366" s="1081" t="str">
        <f t="shared" si="72"/>
        <v>-</v>
      </c>
      <c r="E366" s="1163">
        <f t="shared" si="72"/>
        <v>0</v>
      </c>
      <c r="F366" s="1177">
        <f t="shared" si="66"/>
        <v>0</v>
      </c>
      <c r="G366" s="1177">
        <f t="shared" si="67"/>
        <v>0</v>
      </c>
      <c r="H366" s="1177">
        <f t="shared" si="60"/>
        <v>0</v>
      </c>
      <c r="I366" s="1158">
        <v>0</v>
      </c>
      <c r="J366" s="1158">
        <v>0</v>
      </c>
      <c r="K366" s="1177"/>
      <c r="L366" s="1177"/>
      <c r="M366" s="1177">
        <f t="shared" si="61"/>
        <v>0</v>
      </c>
      <c r="N366" s="1177">
        <f t="shared" si="62"/>
        <v>0</v>
      </c>
    </row>
    <row r="367" spans="1:14" ht="15.5" outlineLevel="1" x14ac:dyDescent="0.25">
      <c r="A367" s="1011">
        <f t="shared" si="72"/>
        <v>0</v>
      </c>
      <c r="B367" s="1150" t="str">
        <f t="shared" si="72"/>
        <v>DPR 5</v>
      </c>
      <c r="C367" s="1162">
        <f t="shared" si="72"/>
        <v>0</v>
      </c>
      <c r="D367" s="1081" t="str">
        <f t="shared" si="72"/>
        <v>-</v>
      </c>
      <c r="E367" s="1163">
        <f t="shared" si="72"/>
        <v>0</v>
      </c>
      <c r="F367" s="1177">
        <f t="shared" si="66"/>
        <v>0</v>
      </c>
      <c r="G367" s="1177">
        <f t="shared" si="67"/>
        <v>0</v>
      </c>
      <c r="H367" s="1177">
        <f t="shared" si="60"/>
        <v>0</v>
      </c>
      <c r="I367" s="1158">
        <v>0</v>
      </c>
      <c r="J367" s="1158">
        <v>0</v>
      </c>
      <c r="K367" s="1177"/>
      <c r="L367" s="1177"/>
      <c r="M367" s="1177">
        <f t="shared" si="61"/>
        <v>0</v>
      </c>
      <c r="N367" s="1177">
        <f t="shared" si="62"/>
        <v>0</v>
      </c>
    </row>
    <row r="368" spans="1:14" ht="15.5" outlineLevel="1" x14ac:dyDescent="0.25">
      <c r="A368" s="1011">
        <f t="shared" si="72"/>
        <v>1</v>
      </c>
      <c r="B368" s="1169" t="str">
        <f t="shared" si="72"/>
        <v xml:space="preserve">Upgradation of Insulation class Yeldari HPS                                                       </v>
      </c>
      <c r="C368" s="1162">
        <f t="shared" si="72"/>
        <v>0</v>
      </c>
      <c r="D368" s="1081" t="str">
        <f t="shared" si="72"/>
        <v>-</v>
      </c>
      <c r="E368" s="1163">
        <f t="shared" si="72"/>
        <v>0</v>
      </c>
      <c r="F368" s="1177">
        <f t="shared" si="66"/>
        <v>0</v>
      </c>
      <c r="G368" s="1177">
        <f t="shared" si="67"/>
        <v>0</v>
      </c>
      <c r="H368" s="1177">
        <f t="shared" si="60"/>
        <v>0</v>
      </c>
      <c r="I368" s="1158">
        <v>0</v>
      </c>
      <c r="J368" s="1158">
        <v>0</v>
      </c>
      <c r="K368" s="1177"/>
      <c r="L368" s="1177"/>
      <c r="M368" s="1177">
        <f t="shared" si="61"/>
        <v>0</v>
      </c>
      <c r="N368" s="1177">
        <f t="shared" si="62"/>
        <v>0</v>
      </c>
    </row>
    <row r="369" spans="1:14" ht="77.5" outlineLevel="1" x14ac:dyDescent="0.25">
      <c r="A369" s="1011">
        <f t="shared" si="72"/>
        <v>2</v>
      </c>
      <c r="B369" s="1169" t="str">
        <f t="shared" si="72"/>
        <v xml:space="preserve">Design,Supply ,testing ,erection and commissioing of  with modification of HT power circuit from 66KV to 132 KV by providing 03 Nos GT of 6.6/132 KV capcity 10 MVA with allied compatible aux. equipments  &amp; 01 Aux X`mer  2MVA of 132/11 KV at Yeldari HPS                                                         </v>
      </c>
      <c r="C369" s="1162">
        <f t="shared" si="72"/>
        <v>0</v>
      </c>
      <c r="D369" s="1081" t="str">
        <f t="shared" si="72"/>
        <v>-</v>
      </c>
      <c r="E369" s="1163">
        <f t="shared" si="72"/>
        <v>0</v>
      </c>
      <c r="F369" s="1177">
        <f t="shared" si="66"/>
        <v>0</v>
      </c>
      <c r="G369" s="1177">
        <f t="shared" si="67"/>
        <v>0</v>
      </c>
      <c r="H369" s="1177">
        <f t="shared" si="60"/>
        <v>0</v>
      </c>
      <c r="I369" s="1158">
        <v>0</v>
      </c>
      <c r="J369" s="1158">
        <v>0</v>
      </c>
      <c r="K369" s="1177"/>
      <c r="L369" s="1177"/>
      <c r="M369" s="1177">
        <f t="shared" si="61"/>
        <v>0</v>
      </c>
      <c r="N369" s="1177">
        <f t="shared" si="62"/>
        <v>0</v>
      </c>
    </row>
    <row r="370" spans="1:14" ht="46.5" outlineLevel="1" x14ac:dyDescent="0.25">
      <c r="A370" s="1011">
        <f t="shared" si="72"/>
        <v>3</v>
      </c>
      <c r="B370" s="1169" t="str">
        <f t="shared" si="72"/>
        <v xml:space="preserve">Design,supply ,testing ,erection and commissioing of Automated Co2 fire extinguishers system including supply of Co2 cylinder banks,detectors accessories and associated work at Yeldari HPS                                          </v>
      </c>
      <c r="C370" s="1162">
        <f t="shared" si="72"/>
        <v>0</v>
      </c>
      <c r="D370" s="1081" t="str">
        <f t="shared" si="72"/>
        <v>-</v>
      </c>
      <c r="E370" s="1163">
        <f t="shared" si="72"/>
        <v>0</v>
      </c>
      <c r="F370" s="1177">
        <f t="shared" si="66"/>
        <v>0</v>
      </c>
      <c r="G370" s="1177">
        <f t="shared" si="67"/>
        <v>0</v>
      </c>
      <c r="H370" s="1177">
        <f t="shared" si="60"/>
        <v>0</v>
      </c>
      <c r="I370" s="1158">
        <v>0</v>
      </c>
      <c r="J370" s="1158">
        <v>0</v>
      </c>
      <c r="K370" s="1177"/>
      <c r="L370" s="1177"/>
      <c r="M370" s="1177">
        <f t="shared" si="61"/>
        <v>0</v>
      </c>
      <c r="N370" s="1177">
        <f t="shared" si="62"/>
        <v>0</v>
      </c>
    </row>
    <row r="371" spans="1:14" ht="46.5" outlineLevel="1" x14ac:dyDescent="0.25">
      <c r="A371" s="1011">
        <f t="shared" si="72"/>
        <v>4</v>
      </c>
      <c r="B371" s="1169" t="str">
        <f t="shared" si="72"/>
        <v xml:space="preserve"> Design,supply ,testing ,erection and commissioing of UAT capacity 250 KVA ration 6.6KV/415V with ACDB, DCDB , auto change over system                                </v>
      </c>
      <c r="C371" s="1162">
        <f t="shared" si="72"/>
        <v>0</v>
      </c>
      <c r="D371" s="1081" t="str">
        <f t="shared" si="72"/>
        <v>-</v>
      </c>
      <c r="E371" s="1163">
        <f t="shared" si="72"/>
        <v>0</v>
      </c>
      <c r="F371" s="1177">
        <f t="shared" si="66"/>
        <v>0</v>
      </c>
      <c r="G371" s="1177">
        <f t="shared" si="67"/>
        <v>0</v>
      </c>
      <c r="H371" s="1177">
        <f t="shared" si="60"/>
        <v>0</v>
      </c>
      <c r="I371" s="1158">
        <v>0</v>
      </c>
      <c r="J371" s="1158">
        <v>0</v>
      </c>
      <c r="K371" s="1177"/>
      <c r="L371" s="1177"/>
      <c r="M371" s="1177">
        <f t="shared" si="61"/>
        <v>0</v>
      </c>
      <c r="N371" s="1177">
        <f t="shared" si="62"/>
        <v>0</v>
      </c>
    </row>
    <row r="372" spans="1:14" ht="31" outlineLevel="1" x14ac:dyDescent="0.25">
      <c r="A372" s="1011">
        <f t="shared" si="72"/>
        <v>5</v>
      </c>
      <c r="B372" s="1169" t="str">
        <f t="shared" si="72"/>
        <v xml:space="preserve">Design,supply ,testing ,erection and commissioing of  Power cables for GT and control cables at Yeldari HPS                                            </v>
      </c>
      <c r="C372" s="1162">
        <f t="shared" si="72"/>
        <v>0</v>
      </c>
      <c r="D372" s="1081" t="str">
        <f t="shared" si="72"/>
        <v>-</v>
      </c>
      <c r="E372" s="1163">
        <f t="shared" si="72"/>
        <v>0</v>
      </c>
      <c r="F372" s="1177">
        <f t="shared" si="66"/>
        <v>0</v>
      </c>
      <c r="G372" s="1177">
        <f t="shared" si="67"/>
        <v>0</v>
      </c>
      <c r="H372" s="1177">
        <f t="shared" si="60"/>
        <v>0</v>
      </c>
      <c r="I372" s="1158">
        <v>0</v>
      </c>
      <c r="J372" s="1158">
        <v>0</v>
      </c>
      <c r="K372" s="1177"/>
      <c r="L372" s="1177"/>
      <c r="M372" s="1177">
        <f t="shared" si="61"/>
        <v>0</v>
      </c>
      <c r="N372" s="1177">
        <f t="shared" si="62"/>
        <v>0</v>
      </c>
    </row>
    <row r="373" spans="1:14" ht="31" outlineLevel="1" x14ac:dyDescent="0.25">
      <c r="A373" s="1011">
        <f t="shared" si="72"/>
        <v>6</v>
      </c>
      <c r="B373" s="1169" t="str">
        <f t="shared" si="72"/>
        <v xml:space="preserve">Design,supply ,testing ,erection and commissioing of  Power cables for GT and control cables at Yeldari HPS                                              </v>
      </c>
      <c r="C373" s="1162">
        <f t="shared" si="72"/>
        <v>0</v>
      </c>
      <c r="D373" s="1081" t="str">
        <f t="shared" si="72"/>
        <v>-</v>
      </c>
      <c r="E373" s="1163">
        <f t="shared" si="72"/>
        <v>0</v>
      </c>
      <c r="F373" s="1177">
        <f t="shared" si="66"/>
        <v>0</v>
      </c>
      <c r="G373" s="1177">
        <f t="shared" si="67"/>
        <v>0</v>
      </c>
      <c r="H373" s="1177">
        <f t="shared" si="60"/>
        <v>0</v>
      </c>
      <c r="I373" s="1158">
        <v>0</v>
      </c>
      <c r="J373" s="1158">
        <v>0</v>
      </c>
      <c r="K373" s="1177"/>
      <c r="L373" s="1177"/>
      <c r="M373" s="1177">
        <f t="shared" si="61"/>
        <v>0</v>
      </c>
      <c r="N373" s="1177">
        <f t="shared" si="62"/>
        <v>0</v>
      </c>
    </row>
    <row r="374" spans="1:14" ht="15.5" outlineLevel="1" x14ac:dyDescent="0.25">
      <c r="A374" s="1168">
        <f t="shared" si="72"/>
        <v>0</v>
      </c>
      <c r="B374" s="1172" t="str">
        <f t="shared" si="72"/>
        <v>DPR 6(CIVIL)</v>
      </c>
      <c r="C374" s="1162">
        <f t="shared" si="72"/>
        <v>0</v>
      </c>
      <c r="D374" s="1081" t="str">
        <f t="shared" si="72"/>
        <v>-</v>
      </c>
      <c r="E374" s="1163">
        <f t="shared" si="72"/>
        <v>0</v>
      </c>
      <c r="F374" s="1177">
        <f t="shared" si="66"/>
        <v>0</v>
      </c>
      <c r="G374" s="1177">
        <f t="shared" si="67"/>
        <v>0</v>
      </c>
      <c r="H374" s="1177">
        <f t="shared" si="60"/>
        <v>0</v>
      </c>
      <c r="I374" s="1158">
        <v>0</v>
      </c>
      <c r="J374" s="1158">
        <v>0</v>
      </c>
      <c r="K374" s="1177"/>
      <c r="L374" s="1177"/>
      <c r="M374" s="1177">
        <f t="shared" si="61"/>
        <v>0</v>
      </c>
      <c r="N374" s="1177">
        <f t="shared" si="62"/>
        <v>0</v>
      </c>
    </row>
    <row r="375" spans="1:14" ht="15.5" outlineLevel="1" x14ac:dyDescent="0.25">
      <c r="A375" s="1011">
        <f t="shared" si="72"/>
        <v>1</v>
      </c>
      <c r="B375" s="1169" t="str">
        <f t="shared" si="72"/>
        <v>Package shade roof change at Ghatghar HPS</v>
      </c>
      <c r="C375" s="1162">
        <f t="shared" si="72"/>
        <v>0</v>
      </c>
      <c r="D375" s="1081" t="str">
        <f t="shared" si="72"/>
        <v>-</v>
      </c>
      <c r="E375" s="1163">
        <f t="shared" si="72"/>
        <v>0</v>
      </c>
      <c r="F375" s="1177">
        <f t="shared" si="66"/>
        <v>0</v>
      </c>
      <c r="G375" s="1177">
        <f t="shared" si="67"/>
        <v>0</v>
      </c>
      <c r="H375" s="1177">
        <f t="shared" si="60"/>
        <v>0</v>
      </c>
      <c r="I375" s="1158">
        <v>0</v>
      </c>
      <c r="J375" s="1158">
        <v>0</v>
      </c>
      <c r="K375" s="1177"/>
      <c r="L375" s="1177"/>
      <c r="M375" s="1177">
        <f t="shared" si="61"/>
        <v>0</v>
      </c>
      <c r="N375" s="1177">
        <f t="shared" si="62"/>
        <v>0</v>
      </c>
    </row>
    <row r="376" spans="1:14" ht="15.5" outlineLevel="1" x14ac:dyDescent="0.25">
      <c r="A376" s="1011">
        <f t="shared" si="72"/>
        <v>2</v>
      </c>
      <c r="B376" s="1169" t="str">
        <f t="shared" si="72"/>
        <v>PROCUREMENT OF MOBILE RACKS FOR STORES atGhatghar HPS</v>
      </c>
      <c r="C376" s="1162">
        <f t="shared" si="72"/>
        <v>0</v>
      </c>
      <c r="D376" s="1081" t="str">
        <f t="shared" si="72"/>
        <v>-</v>
      </c>
      <c r="E376" s="1163">
        <f t="shared" si="72"/>
        <v>0</v>
      </c>
      <c r="F376" s="1177">
        <f t="shared" si="66"/>
        <v>0</v>
      </c>
      <c r="G376" s="1177">
        <f t="shared" si="67"/>
        <v>0</v>
      </c>
      <c r="H376" s="1177">
        <f t="shared" si="60"/>
        <v>0</v>
      </c>
      <c r="I376" s="1158">
        <v>0</v>
      </c>
      <c r="J376" s="1158">
        <v>0</v>
      </c>
      <c r="K376" s="1177"/>
      <c r="L376" s="1177"/>
      <c r="M376" s="1177">
        <f t="shared" si="61"/>
        <v>0</v>
      </c>
      <c r="N376" s="1177">
        <f t="shared" si="62"/>
        <v>0</v>
      </c>
    </row>
    <row r="377" spans="1:14" ht="31" outlineLevel="1" x14ac:dyDescent="0.25">
      <c r="A377" s="1011">
        <f t="shared" ref="A377:E392" si="73">A279</f>
        <v>3</v>
      </c>
      <c r="B377" s="1169" t="str">
        <f t="shared" si="73"/>
        <v>Wall compound Rising of height and Wire fence on wall at package shade  at Ghatghar HPS</v>
      </c>
      <c r="C377" s="1162">
        <f t="shared" si="73"/>
        <v>0</v>
      </c>
      <c r="D377" s="1081" t="str">
        <f t="shared" si="73"/>
        <v>-</v>
      </c>
      <c r="E377" s="1163">
        <f t="shared" si="73"/>
        <v>0</v>
      </c>
      <c r="F377" s="1177">
        <f t="shared" ref="F377:F391" si="74">F279+I279</f>
        <v>0</v>
      </c>
      <c r="G377" s="1177">
        <f t="shared" ref="G377:G391" si="75">G279+M279</f>
        <v>0</v>
      </c>
      <c r="H377" s="1177">
        <f t="shared" si="60"/>
        <v>0</v>
      </c>
      <c r="I377" s="1158">
        <v>0</v>
      </c>
      <c r="J377" s="1158">
        <v>0</v>
      </c>
      <c r="K377" s="1177"/>
      <c r="L377" s="1177"/>
      <c r="M377" s="1177">
        <f t="shared" si="61"/>
        <v>0</v>
      </c>
      <c r="N377" s="1177">
        <f t="shared" si="62"/>
        <v>0</v>
      </c>
    </row>
    <row r="378" spans="1:14" ht="15.5" outlineLevel="1" x14ac:dyDescent="0.25">
      <c r="A378" s="1011">
        <f t="shared" si="73"/>
        <v>4</v>
      </c>
      <c r="B378" s="1169" t="str">
        <f t="shared" si="73"/>
        <v>Wall compound colony UCR at Ghatghar HPS</v>
      </c>
      <c r="C378" s="1162">
        <f t="shared" si="73"/>
        <v>0</v>
      </c>
      <c r="D378" s="1081" t="str">
        <f t="shared" si="73"/>
        <v>-</v>
      </c>
      <c r="E378" s="1163">
        <f t="shared" si="73"/>
        <v>0</v>
      </c>
      <c r="F378" s="1177">
        <f t="shared" si="74"/>
        <v>0</v>
      </c>
      <c r="G378" s="1177">
        <f t="shared" si="75"/>
        <v>0</v>
      </c>
      <c r="H378" s="1177">
        <f t="shared" si="60"/>
        <v>0</v>
      </c>
      <c r="I378" s="1158">
        <v>0</v>
      </c>
      <c r="J378" s="1158">
        <v>0</v>
      </c>
      <c r="K378" s="1177"/>
      <c r="L378" s="1177"/>
      <c r="M378" s="1177">
        <f t="shared" si="61"/>
        <v>0</v>
      </c>
      <c r="N378" s="1177">
        <f t="shared" si="62"/>
        <v>0</v>
      </c>
    </row>
    <row r="379" spans="1:14" ht="15.5" outlineLevel="1" x14ac:dyDescent="0.25">
      <c r="A379" s="1011">
        <f t="shared" si="73"/>
        <v>5</v>
      </c>
      <c r="B379" s="1169" t="str">
        <f t="shared" si="73"/>
        <v>Colony and office Road asphalting at Ghatghar HPS</v>
      </c>
      <c r="C379" s="1162">
        <f t="shared" si="73"/>
        <v>0</v>
      </c>
      <c r="D379" s="1081" t="str">
        <f t="shared" si="73"/>
        <v>-</v>
      </c>
      <c r="E379" s="1163">
        <f t="shared" si="73"/>
        <v>0</v>
      </c>
      <c r="F379" s="1177">
        <f t="shared" si="74"/>
        <v>0</v>
      </c>
      <c r="G379" s="1177">
        <f t="shared" si="75"/>
        <v>0</v>
      </c>
      <c r="H379" s="1177">
        <f t="shared" si="60"/>
        <v>0</v>
      </c>
      <c r="I379" s="1158">
        <v>0</v>
      </c>
      <c r="J379" s="1158">
        <v>0</v>
      </c>
      <c r="K379" s="1177"/>
      <c r="L379" s="1177"/>
      <c r="M379" s="1177">
        <f t="shared" si="61"/>
        <v>0</v>
      </c>
      <c r="N379" s="1177">
        <f t="shared" si="62"/>
        <v>0</v>
      </c>
    </row>
    <row r="380" spans="1:14" ht="15.5" outlineLevel="1" x14ac:dyDescent="0.25">
      <c r="A380" s="1011">
        <f t="shared" si="73"/>
        <v>6</v>
      </c>
      <c r="B380" s="1169" t="str">
        <f t="shared" si="73"/>
        <v xml:space="preserve"> Road colony to power house at Ghatghar HPS</v>
      </c>
      <c r="C380" s="1162">
        <f t="shared" si="73"/>
        <v>0</v>
      </c>
      <c r="D380" s="1081" t="str">
        <f t="shared" si="73"/>
        <v>-</v>
      </c>
      <c r="E380" s="1163">
        <f t="shared" si="73"/>
        <v>0</v>
      </c>
      <c r="F380" s="1177">
        <f t="shared" si="74"/>
        <v>0</v>
      </c>
      <c r="G380" s="1177">
        <f t="shared" si="75"/>
        <v>0</v>
      </c>
      <c r="H380" s="1177">
        <f t="shared" si="60"/>
        <v>0</v>
      </c>
      <c r="I380" s="1158">
        <v>0</v>
      </c>
      <c r="J380" s="1158">
        <v>0</v>
      </c>
      <c r="K380" s="1177"/>
      <c r="L380" s="1177"/>
      <c r="M380" s="1177">
        <f t="shared" si="61"/>
        <v>0</v>
      </c>
      <c r="N380" s="1177">
        <f t="shared" si="62"/>
        <v>0</v>
      </c>
    </row>
    <row r="381" spans="1:14" ht="15.5" outlineLevel="1" x14ac:dyDescent="0.25">
      <c r="A381" s="1168">
        <f t="shared" si="73"/>
        <v>0</v>
      </c>
      <c r="B381" s="1013">
        <f t="shared" si="73"/>
        <v>0</v>
      </c>
      <c r="C381" s="1162">
        <f t="shared" si="73"/>
        <v>0</v>
      </c>
      <c r="D381" s="1081" t="str">
        <f t="shared" si="73"/>
        <v>-</v>
      </c>
      <c r="E381" s="1163">
        <f t="shared" si="73"/>
        <v>0</v>
      </c>
      <c r="F381" s="1177">
        <f t="shared" si="74"/>
        <v>0</v>
      </c>
      <c r="G381" s="1177">
        <f t="shared" si="75"/>
        <v>0</v>
      </c>
      <c r="H381" s="1177">
        <f t="shared" si="60"/>
        <v>0</v>
      </c>
      <c r="I381" s="1158">
        <v>0</v>
      </c>
      <c r="J381" s="1158">
        <v>0</v>
      </c>
      <c r="K381" s="1177"/>
      <c r="L381" s="1177"/>
      <c r="M381" s="1177">
        <f t="shared" si="61"/>
        <v>0</v>
      </c>
      <c r="N381" s="1177">
        <f t="shared" si="62"/>
        <v>0</v>
      </c>
    </row>
    <row r="382" spans="1:14" ht="15.5" outlineLevel="1" x14ac:dyDescent="0.25">
      <c r="A382" s="1168">
        <f t="shared" si="73"/>
        <v>0</v>
      </c>
      <c r="B382" s="1150" t="str">
        <f t="shared" si="73"/>
        <v>(ii) Yet to be submitted to MERC(F Y 2027-28)</v>
      </c>
      <c r="C382" s="1162">
        <f t="shared" si="73"/>
        <v>0</v>
      </c>
      <c r="D382" s="1081" t="str">
        <f t="shared" si="73"/>
        <v>-</v>
      </c>
      <c r="E382" s="1163">
        <f t="shared" si="73"/>
        <v>0</v>
      </c>
      <c r="F382" s="1177">
        <f t="shared" si="74"/>
        <v>0</v>
      </c>
      <c r="G382" s="1177">
        <f t="shared" si="75"/>
        <v>0</v>
      </c>
      <c r="H382" s="1177">
        <f t="shared" si="60"/>
        <v>0</v>
      </c>
      <c r="I382" s="1158">
        <v>0</v>
      </c>
      <c r="J382" s="1158">
        <v>0</v>
      </c>
      <c r="K382" s="1177"/>
      <c r="L382" s="1177"/>
      <c r="M382" s="1177">
        <f t="shared" si="61"/>
        <v>0</v>
      </c>
      <c r="N382" s="1177">
        <f t="shared" si="62"/>
        <v>0</v>
      </c>
    </row>
    <row r="383" spans="1:14" ht="15.5" outlineLevel="1" x14ac:dyDescent="0.25">
      <c r="A383" s="1168">
        <f t="shared" si="73"/>
        <v>0</v>
      </c>
      <c r="B383" s="1150" t="str">
        <f t="shared" si="73"/>
        <v>DPR 7</v>
      </c>
      <c r="C383" s="1162">
        <f t="shared" si="73"/>
        <v>0</v>
      </c>
      <c r="D383" s="1081" t="str">
        <f t="shared" si="73"/>
        <v>-</v>
      </c>
      <c r="E383" s="1163">
        <f t="shared" si="73"/>
        <v>0</v>
      </c>
      <c r="F383" s="1177">
        <f t="shared" si="74"/>
        <v>0</v>
      </c>
      <c r="G383" s="1177">
        <f t="shared" si="75"/>
        <v>0</v>
      </c>
      <c r="H383" s="1177">
        <f t="shared" si="60"/>
        <v>0</v>
      </c>
      <c r="I383" s="1158">
        <v>0</v>
      </c>
      <c r="J383" s="1158">
        <v>0</v>
      </c>
      <c r="K383" s="1177"/>
      <c r="L383" s="1177"/>
      <c r="M383" s="1177">
        <f t="shared" si="61"/>
        <v>0</v>
      </c>
      <c r="N383" s="1177">
        <f t="shared" si="62"/>
        <v>0</v>
      </c>
    </row>
    <row r="384" spans="1:14" ht="15.5" outlineLevel="1" x14ac:dyDescent="0.25">
      <c r="A384" s="1011">
        <f t="shared" si="73"/>
        <v>1</v>
      </c>
      <c r="B384" s="1169" t="str">
        <f t="shared" si="73"/>
        <v>UPGRADATION OF SFC &amp; DDC PANEL at Ghatghar HPS</v>
      </c>
      <c r="C384" s="1162">
        <f t="shared" si="73"/>
        <v>0</v>
      </c>
      <c r="D384" s="1081" t="str">
        <f t="shared" si="73"/>
        <v>-</v>
      </c>
      <c r="E384" s="1163">
        <f t="shared" si="73"/>
        <v>0</v>
      </c>
      <c r="F384" s="1177">
        <f t="shared" si="74"/>
        <v>0</v>
      </c>
      <c r="G384" s="1177">
        <f t="shared" si="75"/>
        <v>0</v>
      </c>
      <c r="H384" s="1177">
        <f t="shared" si="60"/>
        <v>0</v>
      </c>
      <c r="I384" s="1158">
        <v>0</v>
      </c>
      <c r="J384" s="1158">
        <v>0</v>
      </c>
      <c r="K384" s="1177"/>
      <c r="L384" s="1177"/>
      <c r="M384" s="1177">
        <f t="shared" si="61"/>
        <v>0</v>
      </c>
      <c r="N384" s="1177">
        <f t="shared" si="62"/>
        <v>0</v>
      </c>
    </row>
    <row r="385" spans="1:14" ht="15.5" outlineLevel="1" x14ac:dyDescent="0.25">
      <c r="A385" s="1011">
        <f t="shared" si="73"/>
        <v>2</v>
      </c>
      <c r="B385" s="1169" t="str">
        <f t="shared" si="73"/>
        <v>BATTERY CHARGER PROCUREMENT at Ghatghar HPS</v>
      </c>
      <c r="C385" s="1162">
        <f t="shared" si="73"/>
        <v>0</v>
      </c>
      <c r="D385" s="1081" t="str">
        <f t="shared" si="73"/>
        <v>-</v>
      </c>
      <c r="E385" s="1163">
        <f t="shared" si="73"/>
        <v>0</v>
      </c>
      <c r="F385" s="1177">
        <f t="shared" si="74"/>
        <v>0</v>
      </c>
      <c r="G385" s="1177">
        <f t="shared" si="75"/>
        <v>0</v>
      </c>
      <c r="H385" s="1177">
        <f t="shared" si="60"/>
        <v>0</v>
      </c>
      <c r="I385" s="1158">
        <v>0</v>
      </c>
      <c r="J385" s="1158">
        <v>0</v>
      </c>
      <c r="K385" s="1177"/>
      <c r="L385" s="1177"/>
      <c r="M385" s="1177">
        <f t="shared" si="61"/>
        <v>0</v>
      </c>
      <c r="N385" s="1177">
        <f t="shared" si="62"/>
        <v>0</v>
      </c>
    </row>
    <row r="386" spans="1:14" ht="15.5" outlineLevel="1" x14ac:dyDescent="0.25">
      <c r="A386" s="1011">
        <f t="shared" si="73"/>
        <v>3</v>
      </c>
      <c r="B386" s="1169" t="str">
        <f t="shared" si="73"/>
        <v xml:space="preserve"> PHASE REVERSAL SWITCH PROCUREMENT at Ghatghar HPS</v>
      </c>
      <c r="C386" s="1162">
        <f t="shared" si="73"/>
        <v>0</v>
      </c>
      <c r="D386" s="1081" t="str">
        <f t="shared" si="73"/>
        <v>-</v>
      </c>
      <c r="E386" s="1163">
        <f t="shared" si="73"/>
        <v>0</v>
      </c>
      <c r="F386" s="1177">
        <f t="shared" si="74"/>
        <v>0</v>
      </c>
      <c r="G386" s="1177">
        <f t="shared" si="75"/>
        <v>0</v>
      </c>
      <c r="H386" s="1177">
        <f t="shared" si="60"/>
        <v>0</v>
      </c>
      <c r="I386" s="1158">
        <v>0</v>
      </c>
      <c r="J386" s="1158">
        <v>0</v>
      </c>
      <c r="K386" s="1177"/>
      <c r="L386" s="1177"/>
      <c r="M386" s="1177">
        <f t="shared" si="61"/>
        <v>0</v>
      </c>
      <c r="N386" s="1177">
        <f t="shared" si="62"/>
        <v>0</v>
      </c>
    </row>
    <row r="387" spans="1:14" ht="15.5" outlineLevel="1" x14ac:dyDescent="0.25">
      <c r="A387" s="1011">
        <f t="shared" si="73"/>
        <v>4</v>
      </c>
      <c r="B387" s="1169" t="str">
        <f t="shared" si="73"/>
        <v xml:space="preserve"> PROCUREMENT OF SPARES FOR 220kV GIS at Ghatghar HPS</v>
      </c>
      <c r="C387" s="1162">
        <f t="shared" si="73"/>
        <v>0</v>
      </c>
      <c r="D387" s="1081" t="str">
        <f t="shared" si="73"/>
        <v>-</v>
      </c>
      <c r="E387" s="1163">
        <f t="shared" si="73"/>
        <v>0</v>
      </c>
      <c r="F387" s="1177">
        <f t="shared" si="74"/>
        <v>0</v>
      </c>
      <c r="G387" s="1177">
        <f t="shared" si="75"/>
        <v>0</v>
      </c>
      <c r="H387" s="1177">
        <f t="shared" si="60"/>
        <v>0</v>
      </c>
      <c r="I387" s="1158">
        <v>0</v>
      </c>
      <c r="J387" s="1158">
        <v>0</v>
      </c>
      <c r="K387" s="1177"/>
      <c r="L387" s="1177"/>
      <c r="M387" s="1177">
        <f t="shared" si="61"/>
        <v>0</v>
      </c>
      <c r="N387" s="1177">
        <f t="shared" si="62"/>
        <v>0</v>
      </c>
    </row>
    <row r="388" spans="1:14" ht="15.5" outlineLevel="1" x14ac:dyDescent="0.25">
      <c r="A388" s="1011">
        <f t="shared" si="73"/>
        <v>5</v>
      </c>
      <c r="B388" s="1169" t="str">
        <f t="shared" si="73"/>
        <v xml:space="preserve"> PROCUREMENT OF RBDV at Ghatghar HPS</v>
      </c>
      <c r="C388" s="1162">
        <f t="shared" si="73"/>
        <v>0</v>
      </c>
      <c r="D388" s="1081" t="str">
        <f t="shared" si="73"/>
        <v>-</v>
      </c>
      <c r="E388" s="1163">
        <f t="shared" si="73"/>
        <v>0</v>
      </c>
      <c r="F388" s="1177">
        <f t="shared" si="74"/>
        <v>0</v>
      </c>
      <c r="G388" s="1177">
        <f t="shared" si="75"/>
        <v>0</v>
      </c>
      <c r="H388" s="1177">
        <f t="shared" si="60"/>
        <v>0</v>
      </c>
      <c r="I388" s="1158">
        <v>0</v>
      </c>
      <c r="J388" s="1158">
        <v>0</v>
      </c>
      <c r="K388" s="1177"/>
      <c r="L388" s="1177"/>
      <c r="M388" s="1177">
        <f t="shared" si="61"/>
        <v>0</v>
      </c>
      <c r="N388" s="1177">
        <f t="shared" si="62"/>
        <v>0</v>
      </c>
    </row>
    <row r="389" spans="1:14" ht="15.5" outlineLevel="1" x14ac:dyDescent="0.25">
      <c r="A389" s="1044">
        <f t="shared" si="73"/>
        <v>0</v>
      </c>
      <c r="B389" s="1040">
        <f t="shared" si="73"/>
        <v>0</v>
      </c>
      <c r="C389" s="1162">
        <f t="shared" si="73"/>
        <v>0</v>
      </c>
      <c r="D389" s="1081" t="str">
        <f t="shared" si="73"/>
        <v>-</v>
      </c>
      <c r="E389" s="1163">
        <f t="shared" si="73"/>
        <v>0</v>
      </c>
      <c r="F389" s="1177">
        <f t="shared" si="74"/>
        <v>0</v>
      </c>
      <c r="G389" s="1177">
        <f t="shared" si="75"/>
        <v>0</v>
      </c>
      <c r="H389" s="1177">
        <f t="shared" si="60"/>
        <v>0</v>
      </c>
      <c r="I389" s="1158">
        <v>0</v>
      </c>
      <c r="J389" s="1158">
        <v>0</v>
      </c>
      <c r="K389" s="1177"/>
      <c r="L389" s="1177"/>
      <c r="M389" s="1177">
        <f t="shared" si="61"/>
        <v>0</v>
      </c>
      <c r="N389" s="1177">
        <f t="shared" si="62"/>
        <v>0</v>
      </c>
    </row>
    <row r="390" spans="1:14" ht="15.5" outlineLevel="1" x14ac:dyDescent="0.25">
      <c r="A390" s="1168">
        <f t="shared" si="73"/>
        <v>0</v>
      </c>
      <c r="B390" s="1172" t="str">
        <f t="shared" si="73"/>
        <v>DPR 8</v>
      </c>
      <c r="C390" s="1162">
        <f t="shared" si="73"/>
        <v>0</v>
      </c>
      <c r="D390" s="1081" t="str">
        <f t="shared" si="73"/>
        <v>-</v>
      </c>
      <c r="E390" s="1163">
        <f t="shared" si="73"/>
        <v>0</v>
      </c>
      <c r="F390" s="1177">
        <f t="shared" si="74"/>
        <v>0</v>
      </c>
      <c r="G390" s="1177">
        <f t="shared" si="75"/>
        <v>0</v>
      </c>
      <c r="H390" s="1177">
        <f t="shared" si="60"/>
        <v>0</v>
      </c>
      <c r="I390" s="1158">
        <v>0</v>
      </c>
      <c r="J390" s="1158">
        <v>0</v>
      </c>
      <c r="K390" s="1177"/>
      <c r="L390" s="1177"/>
      <c r="M390" s="1177">
        <f t="shared" si="61"/>
        <v>0</v>
      </c>
      <c r="N390" s="1177">
        <f t="shared" si="62"/>
        <v>0</v>
      </c>
    </row>
    <row r="391" spans="1:14" ht="46.5" outlineLevel="1" x14ac:dyDescent="0.25">
      <c r="A391" s="1011">
        <f t="shared" si="73"/>
        <v>1</v>
      </c>
      <c r="B391" s="1169" t="str">
        <f t="shared" si="73"/>
        <v xml:space="preserve">Comprehensive work of Renovation, Modification, Design, Manufacture, Supply, Erection, Testing &amp; Commissioning of new Generator  on single point responsibility at 60 MW Vaitarna HPS.                          </v>
      </c>
      <c r="C391" s="1162">
        <f t="shared" si="73"/>
        <v>0</v>
      </c>
      <c r="D391" s="1081" t="str">
        <f t="shared" si="73"/>
        <v>-</v>
      </c>
      <c r="E391" s="1163">
        <f t="shared" si="73"/>
        <v>0</v>
      </c>
      <c r="F391" s="1177">
        <f t="shared" si="74"/>
        <v>0</v>
      </c>
      <c r="G391" s="1177">
        <f t="shared" si="75"/>
        <v>0</v>
      </c>
      <c r="H391" s="1177">
        <f t="shared" si="60"/>
        <v>0</v>
      </c>
      <c r="I391" s="1158">
        <v>0</v>
      </c>
      <c r="J391" s="1158">
        <v>0</v>
      </c>
      <c r="K391" s="1177"/>
      <c r="L391" s="1177"/>
      <c r="M391" s="1177">
        <f t="shared" si="61"/>
        <v>0</v>
      </c>
      <c r="N391" s="1177">
        <f t="shared" si="62"/>
        <v>0</v>
      </c>
    </row>
    <row r="392" spans="1:14" ht="15.5" outlineLevel="1" x14ac:dyDescent="0.25">
      <c r="A392" s="1011">
        <f t="shared" si="73"/>
        <v>0</v>
      </c>
      <c r="B392" s="1012" t="str">
        <f t="shared" si="73"/>
        <v>B) Non-DPR Schemes</v>
      </c>
      <c r="C392" s="1162">
        <f t="shared" si="73"/>
        <v>0</v>
      </c>
      <c r="D392" s="1081" t="str">
        <f t="shared" si="73"/>
        <v>-</v>
      </c>
      <c r="E392" s="1163">
        <f t="shared" si="73"/>
        <v>0</v>
      </c>
      <c r="F392" s="1177">
        <f>F294+I294</f>
        <v>0</v>
      </c>
      <c r="G392" s="1177">
        <f>G294+M294</f>
        <v>0</v>
      </c>
      <c r="H392" s="1177">
        <f t="shared" si="60"/>
        <v>0</v>
      </c>
      <c r="I392" s="1158">
        <v>0</v>
      </c>
      <c r="J392" s="1158">
        <v>0</v>
      </c>
      <c r="K392" s="1177"/>
      <c r="L392" s="1177"/>
      <c r="M392" s="1177">
        <f t="shared" si="61"/>
        <v>0</v>
      </c>
      <c r="N392" s="1177">
        <f t="shared" si="62"/>
        <v>0</v>
      </c>
    </row>
    <row r="393" spans="1:14" ht="15.5" outlineLevel="1" x14ac:dyDescent="0.25">
      <c r="A393" s="1160">
        <f t="shared" ref="A393:E396" si="76">A295</f>
        <v>1</v>
      </c>
      <c r="B393" s="1035" t="str">
        <f t="shared" si="76"/>
        <v>Office Equipment</v>
      </c>
      <c r="C393" s="1162">
        <f t="shared" si="76"/>
        <v>0</v>
      </c>
      <c r="D393" s="1081" t="str">
        <f t="shared" si="76"/>
        <v>-</v>
      </c>
      <c r="E393" s="1163">
        <f t="shared" si="76"/>
        <v>0</v>
      </c>
      <c r="F393" s="1177">
        <f>F295+I295</f>
        <v>0.66373825499999994</v>
      </c>
      <c r="G393" s="1177">
        <f>G295+M295</f>
        <v>0.70044345600000002</v>
      </c>
      <c r="H393" s="1177">
        <f t="shared" si="60"/>
        <v>-3.6705201000000076E-2</v>
      </c>
      <c r="I393" s="1158">
        <v>0</v>
      </c>
      <c r="J393" s="1158">
        <v>0</v>
      </c>
      <c r="K393" s="1177"/>
      <c r="L393" s="1177"/>
      <c r="M393" s="1177">
        <f t="shared" si="61"/>
        <v>0</v>
      </c>
      <c r="N393" s="1177">
        <f t="shared" si="62"/>
        <v>-3.6705201000000076E-2</v>
      </c>
    </row>
    <row r="394" spans="1:14" ht="15.5" outlineLevel="1" x14ac:dyDescent="0.25">
      <c r="A394" s="1160">
        <f t="shared" si="76"/>
        <v>2</v>
      </c>
      <c r="B394" s="1034" t="str">
        <f t="shared" si="76"/>
        <v>Furniture &amp; Fixtures</v>
      </c>
      <c r="C394" s="1162">
        <f t="shared" si="76"/>
        <v>0</v>
      </c>
      <c r="D394" s="1081" t="str">
        <f t="shared" si="76"/>
        <v>-</v>
      </c>
      <c r="E394" s="1163">
        <f t="shared" si="76"/>
        <v>0</v>
      </c>
      <c r="F394" s="1177">
        <f>F296+I296</f>
        <v>3.5748099999999998E-2</v>
      </c>
      <c r="G394" s="1177">
        <f>G296+M296</f>
        <v>3.5748099999999998E-2</v>
      </c>
      <c r="H394" s="1177">
        <f t="shared" si="60"/>
        <v>0</v>
      </c>
      <c r="I394" s="1158">
        <v>0</v>
      </c>
      <c r="J394" s="1158">
        <v>0</v>
      </c>
      <c r="K394" s="1177"/>
      <c r="L394" s="1177"/>
      <c r="M394" s="1177">
        <f t="shared" si="61"/>
        <v>0</v>
      </c>
      <c r="N394" s="1177">
        <f t="shared" si="62"/>
        <v>0</v>
      </c>
    </row>
    <row r="395" spans="1:14" ht="62" outlineLevel="1" x14ac:dyDescent="0.25">
      <c r="A395" s="1160">
        <f t="shared" si="76"/>
        <v>3</v>
      </c>
      <c r="B395" s="1169" t="str">
        <f t="shared" si="76"/>
        <v xml:space="preserve">Replacement of existing 300AH/220VDC &amp; 200AH/220VDC Battery Set with new Lead acid Tubular Battery Set along with Design, manufacture, supply, installation, commissioning &amp; testing at Yeldari &amp; Paithan HPS </v>
      </c>
      <c r="C395" s="1162">
        <f t="shared" si="76"/>
        <v>0</v>
      </c>
      <c r="D395" s="1081" t="str">
        <f t="shared" si="76"/>
        <v>-</v>
      </c>
      <c r="E395" s="1163">
        <f t="shared" si="76"/>
        <v>0</v>
      </c>
      <c r="F395" s="1177">
        <f>F297+I297</f>
        <v>0.22830016</v>
      </c>
      <c r="G395" s="1177">
        <f>G297+M297</f>
        <v>0.22830016</v>
      </c>
      <c r="H395" s="1177">
        <f t="shared" si="60"/>
        <v>0</v>
      </c>
      <c r="I395" s="1158">
        <v>0</v>
      </c>
      <c r="J395" s="1158">
        <v>0</v>
      </c>
      <c r="K395" s="1177"/>
      <c r="L395" s="1177"/>
      <c r="M395" s="1177">
        <f t="shared" si="61"/>
        <v>0</v>
      </c>
      <c r="N395" s="1177">
        <f t="shared" si="62"/>
        <v>0</v>
      </c>
    </row>
    <row r="396" spans="1:14" ht="16" outlineLevel="1" thickBot="1" x14ac:dyDescent="0.3">
      <c r="A396" s="1160">
        <f t="shared" si="76"/>
        <v>4</v>
      </c>
      <c r="B396" s="1169" t="str">
        <f t="shared" si="76"/>
        <v>Vehicle (Fire Tender )</v>
      </c>
      <c r="C396" s="1162">
        <f t="shared" si="76"/>
        <v>0</v>
      </c>
      <c r="D396" s="1081" t="str">
        <f t="shared" si="76"/>
        <v>-</v>
      </c>
      <c r="E396" s="1163">
        <f t="shared" si="76"/>
        <v>0</v>
      </c>
      <c r="F396" s="1177">
        <f>F298+I298</f>
        <v>4.0077621479999994</v>
      </c>
      <c r="G396" s="1177">
        <f>G298+M298</f>
        <v>4.0077621479999994</v>
      </c>
      <c r="H396" s="1177">
        <f t="shared" si="60"/>
        <v>0</v>
      </c>
      <c r="I396" s="1158">
        <v>0</v>
      </c>
      <c r="J396" s="1158">
        <v>0</v>
      </c>
      <c r="K396" s="1177"/>
      <c r="L396" s="1177"/>
      <c r="M396" s="1177">
        <f t="shared" si="61"/>
        <v>0</v>
      </c>
      <c r="N396" s="1177">
        <f t="shared" si="62"/>
        <v>0</v>
      </c>
    </row>
    <row r="397" spans="1:14" ht="15" thickBot="1" x14ac:dyDescent="0.3">
      <c r="A397" s="1080"/>
      <c r="B397" s="1079" t="str">
        <f>B299</f>
        <v>Total</v>
      </c>
      <c r="C397" s="1078"/>
      <c r="D397" s="1077"/>
      <c r="E397" s="1173"/>
      <c r="F397" s="1174">
        <f t="shared" ref="F397:N397" si="77">SUM(F304:F396)</f>
        <v>61.479611085000002</v>
      </c>
      <c r="G397" s="1174">
        <f t="shared" si="77"/>
        <v>62.113010167000006</v>
      </c>
      <c r="H397" s="1174">
        <f t="shared" si="77"/>
        <v>-0.63339908200000072</v>
      </c>
      <c r="I397" s="1174">
        <f t="shared" si="77"/>
        <v>112.81025</v>
      </c>
      <c r="J397" s="1174">
        <f t="shared" si="77"/>
        <v>112.81025</v>
      </c>
      <c r="K397" s="1174">
        <f t="shared" si="77"/>
        <v>0</v>
      </c>
      <c r="L397" s="1174">
        <f t="shared" si="77"/>
        <v>0</v>
      </c>
      <c r="M397" s="1174">
        <f t="shared" si="77"/>
        <v>112.81025</v>
      </c>
      <c r="N397" s="1174">
        <f t="shared" si="77"/>
        <v>-0.63339908200000072</v>
      </c>
    </row>
    <row r="398" spans="1:14" x14ac:dyDescent="0.25">
      <c r="F398" s="1175"/>
      <c r="G398" s="1175"/>
      <c r="H398" s="1175"/>
      <c r="I398" s="1175"/>
      <c r="J398" s="1175"/>
      <c r="K398" s="1175"/>
      <c r="L398" s="1175"/>
      <c r="M398" s="1175"/>
      <c r="N398" s="1175"/>
    </row>
    <row r="399" spans="1:14" x14ac:dyDescent="0.25">
      <c r="A399" s="1145"/>
      <c r="B399" s="1082" t="s">
        <v>941</v>
      </c>
      <c r="C399" s="1146"/>
      <c r="D399" s="1147"/>
      <c r="E399" s="1148"/>
      <c r="F399" s="1176"/>
      <c r="G399" s="1176"/>
      <c r="H399" s="1176"/>
      <c r="I399" s="1176"/>
      <c r="J399" s="1176"/>
      <c r="K399" s="1176"/>
      <c r="L399" s="1176"/>
      <c r="M399" s="1176"/>
      <c r="N399" s="1176"/>
    </row>
    <row r="400" spans="1:14" ht="15.5" outlineLevel="1" x14ac:dyDescent="0.25">
      <c r="A400" s="1149"/>
      <c r="B400" s="1012" t="str">
        <f t="shared" ref="B400:E407" si="78">B302</f>
        <v>a) DPR Schemes</v>
      </c>
      <c r="C400" s="1146"/>
      <c r="D400" s="1147"/>
      <c r="E400" s="1148"/>
      <c r="F400" s="1176"/>
      <c r="G400" s="1176"/>
      <c r="H400" s="1176"/>
      <c r="I400" s="1176"/>
      <c r="J400" s="1176"/>
      <c r="K400" s="1176"/>
      <c r="L400" s="1176"/>
      <c r="M400" s="1176"/>
      <c r="N400" s="1176"/>
    </row>
    <row r="401" spans="1:16" ht="15.5" outlineLevel="1" x14ac:dyDescent="0.25">
      <c r="A401" s="1149"/>
      <c r="B401" s="1150" t="str">
        <f t="shared" si="78"/>
        <v>(i) Submitted to MERC</v>
      </c>
      <c r="C401" s="1151"/>
      <c r="D401" s="1152"/>
      <c r="E401" s="1148"/>
      <c r="F401" s="1176"/>
      <c r="G401" s="1176"/>
      <c r="H401" s="1176"/>
      <c r="I401" s="1176"/>
      <c r="J401" s="1176"/>
      <c r="K401" s="1176"/>
      <c r="L401" s="1176"/>
      <c r="M401" s="1176"/>
      <c r="N401" s="1176"/>
    </row>
    <row r="402" spans="1:16" ht="31" outlineLevel="1" x14ac:dyDescent="0.25">
      <c r="A402" s="1153">
        <f t="shared" ref="A402:E409" si="79">A304</f>
        <v>2</v>
      </c>
      <c r="B402" s="1154" t="str">
        <f t="shared" si="78"/>
        <v>Various schemes of Hydro Power Stations at HPC Pune &amp; HPC Nasik</v>
      </c>
      <c r="C402" s="1155" t="str">
        <f t="shared" si="78"/>
        <v>MERC/TECH 12/CAPEX/20142015/00876</v>
      </c>
      <c r="D402" s="1156">
        <f t="shared" si="78"/>
        <v>41871</v>
      </c>
      <c r="E402" s="1157">
        <f t="shared" si="78"/>
        <v>0.73120000000000007</v>
      </c>
      <c r="F402" s="1158">
        <f t="shared" ref="F402:F409" si="80">F304+I304</f>
        <v>0</v>
      </c>
      <c r="G402" s="1158">
        <f t="shared" ref="G402:G409" si="81">G304+M304</f>
        <v>0</v>
      </c>
      <c r="H402" s="1158">
        <f>F402-G402</f>
        <v>0</v>
      </c>
      <c r="I402" s="1158">
        <v>0</v>
      </c>
      <c r="J402" s="1158">
        <v>0</v>
      </c>
      <c r="K402" s="1158"/>
      <c r="L402" s="1158"/>
      <c r="M402" s="1158">
        <f>SUM(J402:L402)</f>
        <v>0</v>
      </c>
      <c r="N402" s="1158">
        <f>H402+I402-M402</f>
        <v>0</v>
      </c>
      <c r="O402" s="1159">
        <f t="shared" ref="O402:O407" si="82">MAX(0,IF(M402=0,0,IF(G402+M402&lt;E402,M402,E402-G402)))</f>
        <v>0</v>
      </c>
      <c r="P402" s="1014">
        <f t="shared" ref="P402:P407" si="83">M402-O402</f>
        <v>0</v>
      </c>
    </row>
    <row r="403" spans="1:16" ht="46.5" outlineLevel="1" x14ac:dyDescent="0.25">
      <c r="A403" s="1160">
        <f t="shared" si="79"/>
        <v>2.6</v>
      </c>
      <c r="B403" s="1161" t="str">
        <f t="shared" si="78"/>
        <v>Supply, testing, installation and commissioning of Exide make 300 AH 220 V Lead acid stationary Plante type station battery set for Vaitarna HPS</v>
      </c>
      <c r="C403" s="1162" t="str">
        <f t="shared" si="78"/>
        <v>MERC/TECH 12/CAPEX/20142015/00876</v>
      </c>
      <c r="D403" s="1081">
        <f t="shared" si="78"/>
        <v>41871</v>
      </c>
      <c r="E403" s="1163">
        <f t="shared" si="78"/>
        <v>0.2</v>
      </c>
      <c r="F403" s="1177">
        <f t="shared" si="80"/>
        <v>0.1988615</v>
      </c>
      <c r="G403" s="1177">
        <f t="shared" si="81"/>
        <v>0.1988615</v>
      </c>
      <c r="H403" s="1177">
        <f t="shared" ref="H403:H494" si="84">F403-G403</f>
        <v>0</v>
      </c>
      <c r="I403" s="1158">
        <v>0</v>
      </c>
      <c r="J403" s="1158">
        <v>0</v>
      </c>
      <c r="K403" s="1177"/>
      <c r="L403" s="1177"/>
      <c r="M403" s="1177">
        <f t="shared" ref="M403:M494" si="85">SUM(J403:L403)</f>
        <v>0</v>
      </c>
      <c r="N403" s="1177">
        <f t="shared" ref="N403:N494" si="86">H403+I403-M403</f>
        <v>0</v>
      </c>
      <c r="O403" s="1159">
        <f t="shared" si="82"/>
        <v>0</v>
      </c>
      <c r="P403" s="1014">
        <f t="shared" si="83"/>
        <v>0</v>
      </c>
    </row>
    <row r="404" spans="1:16" ht="46.5" outlineLevel="1" x14ac:dyDescent="0.25">
      <c r="A404" s="1160">
        <f t="shared" si="79"/>
        <v>2.7</v>
      </c>
      <c r="B404" s="1161" t="str">
        <f t="shared" si="78"/>
        <v>Supply, testing, installation and commissioning of Exide make 300 AH 220 V Lead acid stationary Plante type station battery set for Bhatsa HPS</v>
      </c>
      <c r="C404" s="1162" t="str">
        <f t="shared" si="78"/>
        <v>MERC/TECH 12/CAPEX/20142015/00876</v>
      </c>
      <c r="D404" s="1081">
        <f t="shared" si="78"/>
        <v>41871</v>
      </c>
      <c r="E404" s="1163">
        <f t="shared" si="78"/>
        <v>0.2</v>
      </c>
      <c r="F404" s="1177">
        <f t="shared" si="80"/>
        <v>0.1988615</v>
      </c>
      <c r="G404" s="1177">
        <f t="shared" si="81"/>
        <v>0.1988615</v>
      </c>
      <c r="H404" s="1177">
        <f t="shared" si="84"/>
        <v>0</v>
      </c>
      <c r="I404" s="1158">
        <v>0</v>
      </c>
      <c r="J404" s="1158">
        <v>0</v>
      </c>
      <c r="K404" s="1177"/>
      <c r="L404" s="1177"/>
      <c r="M404" s="1177">
        <f t="shared" si="85"/>
        <v>0</v>
      </c>
      <c r="N404" s="1177">
        <f t="shared" si="86"/>
        <v>0</v>
      </c>
      <c r="O404" s="1159">
        <f t="shared" si="82"/>
        <v>0</v>
      </c>
      <c r="P404" s="1014">
        <f t="shared" si="83"/>
        <v>0</v>
      </c>
    </row>
    <row r="405" spans="1:16" ht="29" outlineLevel="1" x14ac:dyDescent="0.25">
      <c r="A405" s="1160">
        <f t="shared" si="79"/>
        <v>0</v>
      </c>
      <c r="B405" s="1161" t="str">
        <f t="shared" si="78"/>
        <v>IDC</v>
      </c>
      <c r="C405" s="1162" t="str">
        <f t="shared" si="78"/>
        <v>MERC/TECH 12/CAPEX/20142015/00876</v>
      </c>
      <c r="D405" s="1081">
        <f t="shared" si="78"/>
        <v>41871</v>
      </c>
      <c r="E405" s="1163">
        <f t="shared" si="78"/>
        <v>0.33119999999999999</v>
      </c>
      <c r="F405" s="1177">
        <f t="shared" si="80"/>
        <v>0</v>
      </c>
      <c r="G405" s="1177">
        <f t="shared" si="81"/>
        <v>0</v>
      </c>
      <c r="H405" s="1177">
        <f t="shared" si="84"/>
        <v>0</v>
      </c>
      <c r="I405" s="1158">
        <v>0</v>
      </c>
      <c r="J405" s="1158">
        <v>0</v>
      </c>
      <c r="K405" s="1177"/>
      <c r="L405" s="1177"/>
      <c r="M405" s="1177">
        <f t="shared" si="85"/>
        <v>0</v>
      </c>
      <c r="N405" s="1177">
        <f t="shared" si="86"/>
        <v>0</v>
      </c>
      <c r="O405" s="1159">
        <f t="shared" si="82"/>
        <v>0</v>
      </c>
      <c r="P405" s="1014">
        <f t="shared" si="83"/>
        <v>0</v>
      </c>
    </row>
    <row r="406" spans="1:16" ht="31" outlineLevel="1" x14ac:dyDescent="0.25">
      <c r="A406" s="1153">
        <f t="shared" si="79"/>
        <v>6</v>
      </c>
      <c r="B406" s="1154" t="str">
        <f t="shared" si="78"/>
        <v>Upgradation of Protection Systems at Ghatghar (2x125MW) and Bhatsa (1x15MW) HPS under HPC Nasik</v>
      </c>
      <c r="C406" s="1155" t="str">
        <f t="shared" si="78"/>
        <v>MERC/CAPEX/20172018/04220</v>
      </c>
      <c r="D406" s="1156">
        <f t="shared" si="78"/>
        <v>42997</v>
      </c>
      <c r="E406" s="1157">
        <f t="shared" si="78"/>
        <v>15.104000000000001</v>
      </c>
      <c r="F406" s="1158">
        <f t="shared" si="80"/>
        <v>0</v>
      </c>
      <c r="G406" s="1158">
        <f t="shared" si="81"/>
        <v>0</v>
      </c>
      <c r="H406" s="1158">
        <f t="shared" si="84"/>
        <v>0</v>
      </c>
      <c r="I406" s="1158">
        <v>0</v>
      </c>
      <c r="J406" s="1158">
        <v>0</v>
      </c>
      <c r="K406" s="1158"/>
      <c r="L406" s="1158"/>
      <c r="M406" s="1158">
        <f t="shared" si="85"/>
        <v>0</v>
      </c>
      <c r="N406" s="1158">
        <f t="shared" si="86"/>
        <v>0</v>
      </c>
      <c r="O406" s="1159">
        <f t="shared" si="82"/>
        <v>0</v>
      </c>
      <c r="P406" s="1014">
        <f t="shared" si="83"/>
        <v>0</v>
      </c>
    </row>
    <row r="407" spans="1:16" ht="31" outlineLevel="1" x14ac:dyDescent="0.25">
      <c r="A407" s="1160">
        <f t="shared" si="79"/>
        <v>6.1</v>
      </c>
      <c r="B407" s="1161" t="str">
        <f t="shared" si="78"/>
        <v>Up gradation of Protection System &amp;unitrol excitation system at Ghatghar Hydro Power Station.</v>
      </c>
      <c r="C407" s="1162" t="str">
        <f t="shared" si="78"/>
        <v>MERC/CAPEX/20172018/04220</v>
      </c>
      <c r="D407" s="1081">
        <f t="shared" si="78"/>
        <v>42997</v>
      </c>
      <c r="E407" s="1163">
        <f t="shared" si="78"/>
        <v>9.6780000000000008</v>
      </c>
      <c r="F407" s="1177">
        <f t="shared" si="80"/>
        <v>0</v>
      </c>
      <c r="G407" s="1177">
        <f t="shared" si="81"/>
        <v>0</v>
      </c>
      <c r="H407" s="1177">
        <f t="shared" si="84"/>
        <v>0</v>
      </c>
      <c r="I407" s="1158">
        <v>0</v>
      </c>
      <c r="J407" s="1158">
        <v>0</v>
      </c>
      <c r="K407" s="1177"/>
      <c r="L407" s="1177"/>
      <c r="M407" s="1177">
        <f t="shared" si="85"/>
        <v>0</v>
      </c>
      <c r="N407" s="1177">
        <f t="shared" si="86"/>
        <v>0</v>
      </c>
      <c r="O407" s="1159">
        <f t="shared" si="82"/>
        <v>0</v>
      </c>
      <c r="P407" s="1014">
        <f t="shared" si="83"/>
        <v>0</v>
      </c>
    </row>
    <row r="408" spans="1:16" ht="31" outlineLevel="1" x14ac:dyDescent="0.25">
      <c r="A408" s="1160">
        <f t="shared" si="79"/>
        <v>0</v>
      </c>
      <c r="B408" s="1161" t="str">
        <f t="shared" si="79"/>
        <v>Part A : upgradation of unitrol excitation system for both units at GHPS</v>
      </c>
      <c r="C408" s="1162">
        <f t="shared" si="79"/>
        <v>0</v>
      </c>
      <c r="D408" s="1081" t="str">
        <f t="shared" si="79"/>
        <v>-</v>
      </c>
      <c r="E408" s="1163">
        <f t="shared" si="79"/>
        <v>0</v>
      </c>
      <c r="F408" s="1177">
        <f t="shared" si="80"/>
        <v>3.4190499999999999</v>
      </c>
      <c r="G408" s="1177">
        <f t="shared" si="81"/>
        <v>3.4190499999999999</v>
      </c>
      <c r="H408" s="1177">
        <f t="shared" si="84"/>
        <v>0</v>
      </c>
      <c r="I408" s="1158">
        <v>0</v>
      </c>
      <c r="J408" s="1158">
        <v>0</v>
      </c>
      <c r="K408" s="1177"/>
      <c r="L408" s="1177"/>
      <c r="M408" s="1177">
        <f t="shared" si="85"/>
        <v>0</v>
      </c>
      <c r="N408" s="1177">
        <f t="shared" si="86"/>
        <v>0</v>
      </c>
      <c r="O408" s="1159"/>
      <c r="P408" s="1014"/>
    </row>
    <row r="409" spans="1:16" ht="15.5" outlineLevel="1" x14ac:dyDescent="0.25">
      <c r="A409" s="1160">
        <f t="shared" si="79"/>
        <v>0</v>
      </c>
      <c r="B409" s="1161" t="str">
        <f t="shared" si="79"/>
        <v>Part B : upgradation of Protection system for both units at GHPS</v>
      </c>
      <c r="C409" s="1162">
        <f t="shared" si="79"/>
        <v>0</v>
      </c>
      <c r="D409" s="1081" t="str">
        <f t="shared" si="79"/>
        <v>-</v>
      </c>
      <c r="E409" s="1163">
        <f t="shared" si="79"/>
        <v>0</v>
      </c>
      <c r="F409" s="1177">
        <f t="shared" si="80"/>
        <v>2.9146000000000001</v>
      </c>
      <c r="G409" s="1177">
        <f t="shared" si="81"/>
        <v>2.9146000000000001</v>
      </c>
      <c r="H409" s="1177">
        <f t="shared" si="84"/>
        <v>0</v>
      </c>
      <c r="I409" s="1158">
        <v>0</v>
      </c>
      <c r="J409" s="1158">
        <v>0</v>
      </c>
      <c r="K409" s="1177"/>
      <c r="L409" s="1177"/>
      <c r="M409" s="1177">
        <f t="shared" si="85"/>
        <v>0</v>
      </c>
      <c r="N409" s="1177">
        <f t="shared" si="86"/>
        <v>0</v>
      </c>
      <c r="O409" s="1159"/>
      <c r="P409" s="1014"/>
    </row>
    <row r="410" spans="1:16" ht="46.5" outlineLevel="1" x14ac:dyDescent="0.25">
      <c r="A410" s="1160">
        <f>A312</f>
        <v>6.2</v>
      </c>
      <c r="B410" s="1161" t="str">
        <f>B312</f>
        <v>Up gradation of ABB Make Protection System &amp; Automatic Voltage Regulator, Relay Based Unit &amp; Auxiliary control for Bhatsa Hydro Power Station(1 X 15MW).</v>
      </c>
      <c r="C410" s="1162" t="str">
        <f>C312</f>
        <v>MERC/CAPEX/20172018/04220</v>
      </c>
      <c r="D410" s="1081">
        <f>D312</f>
        <v>42997</v>
      </c>
      <c r="E410" s="1163">
        <f>E312</f>
        <v>5.4260000000000002</v>
      </c>
      <c r="F410" s="1177">
        <f>F312+I312</f>
        <v>0</v>
      </c>
      <c r="G410" s="1177">
        <f>G312+M312</f>
        <v>0</v>
      </c>
      <c r="H410" s="1177">
        <f t="shared" si="84"/>
        <v>0</v>
      </c>
      <c r="I410" s="1158">
        <v>0</v>
      </c>
      <c r="J410" s="1158">
        <v>0</v>
      </c>
      <c r="K410" s="1177"/>
      <c r="L410" s="1177"/>
      <c r="M410" s="1177">
        <f t="shared" si="85"/>
        <v>0</v>
      </c>
      <c r="N410" s="1177">
        <f t="shared" si="86"/>
        <v>0</v>
      </c>
      <c r="O410" s="1159">
        <f t="shared" ref="O410" si="87">MAX(0,IF(M410=0,0,IF(G410+M410&lt;E410,M410,E410-G410)))</f>
        <v>0</v>
      </c>
      <c r="P410" s="1014">
        <f t="shared" ref="P410" si="88">M410-O410</f>
        <v>0</v>
      </c>
    </row>
    <row r="411" spans="1:16" ht="46.5" outlineLevel="1" x14ac:dyDescent="0.25">
      <c r="A411" s="1160">
        <f t="shared" ref="A411:E426" si="89">A313</f>
        <v>0</v>
      </c>
      <c r="B411" s="1161" t="str">
        <f t="shared" si="89"/>
        <v xml:space="preserve"> Protection system Part A:- Restoration and up-gradation of electromechanical and static relays with numerical relays along with installation, testing, commissioning, and misc. allied works </v>
      </c>
      <c r="C411" s="1162">
        <f t="shared" si="89"/>
        <v>0</v>
      </c>
      <c r="D411" s="1081" t="str">
        <f t="shared" si="89"/>
        <v>-</v>
      </c>
      <c r="E411" s="1163">
        <f t="shared" si="89"/>
        <v>0</v>
      </c>
      <c r="F411" s="1177">
        <f t="shared" ref="F411:F474" si="90">F313+I313</f>
        <v>0</v>
      </c>
      <c r="G411" s="1177">
        <f t="shared" ref="G411:G474" si="91">G313+M313</f>
        <v>0.45666000000000001</v>
      </c>
      <c r="H411" s="1177">
        <f t="shared" si="84"/>
        <v>-0.45666000000000001</v>
      </c>
      <c r="I411" s="1158">
        <v>0</v>
      </c>
      <c r="J411" s="1158">
        <v>0</v>
      </c>
      <c r="K411" s="1177"/>
      <c r="L411" s="1177"/>
      <c r="M411" s="1177">
        <f t="shared" si="85"/>
        <v>0</v>
      </c>
      <c r="N411" s="1177">
        <f t="shared" si="86"/>
        <v>-0.45666000000000001</v>
      </c>
      <c r="O411" s="1159"/>
      <c r="P411" s="1014"/>
    </row>
    <row r="412" spans="1:16" ht="31" outlineLevel="1" x14ac:dyDescent="0.25">
      <c r="A412" s="1160">
        <f t="shared" si="89"/>
        <v>0</v>
      </c>
      <c r="B412" s="1161" t="str">
        <f t="shared" si="89"/>
        <v>Protection system Part B:- Procure of redundant &amp; spare Numerical relays for Generator and G T Protection system.</v>
      </c>
      <c r="C412" s="1162">
        <f t="shared" si="89"/>
        <v>0</v>
      </c>
      <c r="D412" s="1081" t="str">
        <f t="shared" si="89"/>
        <v>-</v>
      </c>
      <c r="E412" s="1163">
        <f t="shared" si="89"/>
        <v>0</v>
      </c>
      <c r="F412" s="1177">
        <f t="shared" si="90"/>
        <v>0.65</v>
      </c>
      <c r="G412" s="1177">
        <f t="shared" si="91"/>
        <v>0.65</v>
      </c>
      <c r="H412" s="1177">
        <f t="shared" si="84"/>
        <v>0</v>
      </c>
      <c r="I412" s="1158">
        <v>0</v>
      </c>
      <c r="J412" s="1158">
        <v>0</v>
      </c>
      <c r="K412" s="1177"/>
      <c r="L412" s="1177"/>
      <c r="M412" s="1177">
        <f t="shared" si="85"/>
        <v>0</v>
      </c>
      <c r="N412" s="1177">
        <f t="shared" si="86"/>
        <v>0</v>
      </c>
      <c r="O412" s="1159"/>
      <c r="P412" s="1014"/>
    </row>
    <row r="413" spans="1:16" ht="46.5" outlineLevel="1" x14ac:dyDescent="0.25">
      <c r="A413" s="1160">
        <f t="shared" si="89"/>
        <v>0</v>
      </c>
      <c r="B413" s="1161" t="str">
        <f t="shared" si="89"/>
        <v>C- Supply erection, testing and Commissioning and supervision of dismantling and erection of static excitation system and control system along with field instrumentation at Bhatsa HPS</v>
      </c>
      <c r="C413" s="1162">
        <f t="shared" si="89"/>
        <v>0</v>
      </c>
      <c r="D413" s="1081" t="str">
        <f t="shared" si="89"/>
        <v>-</v>
      </c>
      <c r="E413" s="1163">
        <f t="shared" si="89"/>
        <v>0</v>
      </c>
      <c r="F413" s="1177">
        <f t="shared" si="90"/>
        <v>3.8231999999999999</v>
      </c>
      <c r="G413" s="1177">
        <f t="shared" si="91"/>
        <v>3.8231999999999999</v>
      </c>
      <c r="H413" s="1177">
        <f t="shared" si="84"/>
        <v>0</v>
      </c>
      <c r="I413" s="1158">
        <v>0</v>
      </c>
      <c r="J413" s="1158">
        <v>0</v>
      </c>
      <c r="K413" s="1177"/>
      <c r="L413" s="1177"/>
      <c r="M413" s="1177">
        <f t="shared" si="85"/>
        <v>0</v>
      </c>
      <c r="N413" s="1177">
        <f t="shared" si="86"/>
        <v>0</v>
      </c>
      <c r="O413" s="1159"/>
      <c r="P413" s="1014"/>
    </row>
    <row r="414" spans="1:16" ht="31" outlineLevel="1" x14ac:dyDescent="0.25">
      <c r="A414" s="1153">
        <f t="shared" si="89"/>
        <v>9</v>
      </c>
      <c r="B414" s="1154" t="str">
        <f t="shared" si="89"/>
        <v>Various Civil schemes for Modernisations of colonies at Various Locations under Nasik HPC</v>
      </c>
      <c r="C414" s="1155" t="str">
        <f t="shared" si="89"/>
        <v>MERC/CAPEX/20162017/04757</v>
      </c>
      <c r="D414" s="1156">
        <f t="shared" si="89"/>
        <v>43061</v>
      </c>
      <c r="E414" s="1157">
        <f t="shared" si="89"/>
        <v>14.566664273199997</v>
      </c>
      <c r="F414" s="1158">
        <f t="shared" si="90"/>
        <v>0</v>
      </c>
      <c r="G414" s="1158">
        <f t="shared" si="91"/>
        <v>0</v>
      </c>
      <c r="H414" s="1158">
        <f t="shared" si="84"/>
        <v>0</v>
      </c>
      <c r="I414" s="1158">
        <v>0</v>
      </c>
      <c r="J414" s="1158">
        <v>0</v>
      </c>
      <c r="K414" s="1158"/>
      <c r="L414" s="1158"/>
      <c r="M414" s="1158">
        <f t="shared" si="85"/>
        <v>0</v>
      </c>
      <c r="N414" s="1158">
        <f t="shared" si="86"/>
        <v>0</v>
      </c>
      <c r="O414" s="1159">
        <f t="shared" ref="O414:O433" si="92">MAX(0,IF(M414=0,0,IF(G414+M414&lt;E414,M414,E414-G414)))</f>
        <v>0</v>
      </c>
      <c r="P414" s="1014">
        <f t="shared" ref="P414:P433" si="93">M414-O414</f>
        <v>0</v>
      </c>
    </row>
    <row r="415" spans="1:16" ht="46.5" outlineLevel="1" x14ac:dyDescent="0.25">
      <c r="A415" s="1160">
        <f t="shared" si="89"/>
        <v>9.1</v>
      </c>
      <c r="B415" s="1161" t="str">
        <f t="shared" si="89"/>
        <v>Part A: Refurbishment of quarters in colony, administartive buidings club building, guest house at various HPS under Nashik HPS</v>
      </c>
      <c r="C415" s="1162" t="str">
        <f t="shared" si="89"/>
        <v>MERC/CAPEX/20162017/04757</v>
      </c>
      <c r="D415" s="1081">
        <f t="shared" si="89"/>
        <v>43061</v>
      </c>
      <c r="E415" s="1163">
        <f t="shared" si="89"/>
        <v>3.7363539351999999</v>
      </c>
      <c r="F415" s="1177">
        <f t="shared" si="90"/>
        <v>3.6419878699999999</v>
      </c>
      <c r="G415" s="1177">
        <f t="shared" si="91"/>
        <v>4.2510011510000005</v>
      </c>
      <c r="H415" s="1177">
        <f t="shared" si="84"/>
        <v>-0.60901328100000063</v>
      </c>
      <c r="I415" s="1158">
        <v>0</v>
      </c>
      <c r="J415" s="1158">
        <v>0</v>
      </c>
      <c r="K415" s="1177"/>
      <c r="L415" s="1177"/>
      <c r="M415" s="1177">
        <f t="shared" si="85"/>
        <v>0</v>
      </c>
      <c r="N415" s="1177">
        <f t="shared" si="86"/>
        <v>-0.60901328100000063</v>
      </c>
      <c r="O415" s="1159">
        <f t="shared" si="92"/>
        <v>0</v>
      </c>
      <c r="P415" s="1014">
        <f t="shared" si="93"/>
        <v>0</v>
      </c>
    </row>
    <row r="416" spans="1:16" ht="31" outlineLevel="1" x14ac:dyDescent="0.25">
      <c r="A416" s="1160">
        <f t="shared" si="89"/>
        <v>9.1999999999999993</v>
      </c>
      <c r="B416" s="1161" t="str">
        <f t="shared" si="89"/>
        <v>Part B: Providing and laying water supply lines within colony and power house area at various HPS under Nashik HPS</v>
      </c>
      <c r="C416" s="1162" t="str">
        <f t="shared" si="89"/>
        <v>MERC/CAPEX/20162017/04757</v>
      </c>
      <c r="D416" s="1081">
        <f t="shared" si="89"/>
        <v>43061</v>
      </c>
      <c r="E416" s="1163">
        <f t="shared" si="89"/>
        <v>0.50088049999999995</v>
      </c>
      <c r="F416" s="1177">
        <f t="shared" si="90"/>
        <v>0.11901328100000001</v>
      </c>
      <c r="G416" s="1177">
        <f t="shared" si="91"/>
        <v>0.11901328100000001</v>
      </c>
      <c r="H416" s="1177">
        <f t="shared" si="84"/>
        <v>0</v>
      </c>
      <c r="I416" s="1158">
        <v>0</v>
      </c>
      <c r="J416" s="1158">
        <v>0</v>
      </c>
      <c r="K416" s="1177"/>
      <c r="L416" s="1177"/>
      <c r="M416" s="1177">
        <f t="shared" si="85"/>
        <v>0</v>
      </c>
      <c r="N416" s="1177">
        <f t="shared" si="86"/>
        <v>0</v>
      </c>
      <c r="O416" s="1159">
        <f t="shared" si="92"/>
        <v>0</v>
      </c>
      <c r="P416" s="1014">
        <f t="shared" si="93"/>
        <v>0</v>
      </c>
    </row>
    <row r="417" spans="1:16" ht="31" outlineLevel="1" x14ac:dyDescent="0.25">
      <c r="A417" s="1160">
        <f t="shared" si="89"/>
        <v>9.3000000000000007</v>
      </c>
      <c r="B417" s="1161" t="str">
        <f t="shared" si="89"/>
        <v>Part C: Construction of compund wall/chainlink fencing around colony and power house area at various HPS under Nashik HPS.</v>
      </c>
      <c r="C417" s="1162" t="str">
        <f t="shared" si="89"/>
        <v>MERC/CAPEX/20162017/04757</v>
      </c>
      <c r="D417" s="1081">
        <f t="shared" si="89"/>
        <v>43061</v>
      </c>
      <c r="E417" s="1163">
        <f t="shared" si="89"/>
        <v>0.74832697199999998</v>
      </c>
      <c r="F417" s="1177">
        <f t="shared" si="90"/>
        <v>0.17</v>
      </c>
      <c r="G417" s="1177">
        <f t="shared" si="91"/>
        <v>0.17</v>
      </c>
      <c r="H417" s="1177">
        <f t="shared" si="84"/>
        <v>0</v>
      </c>
      <c r="I417" s="1158">
        <v>0</v>
      </c>
      <c r="J417" s="1158">
        <v>0</v>
      </c>
      <c r="K417" s="1177"/>
      <c r="L417" s="1177"/>
      <c r="M417" s="1177">
        <f t="shared" si="85"/>
        <v>0</v>
      </c>
      <c r="N417" s="1177">
        <f t="shared" si="86"/>
        <v>0</v>
      </c>
      <c r="O417" s="1159">
        <f t="shared" si="92"/>
        <v>0</v>
      </c>
      <c r="P417" s="1014">
        <f t="shared" si="93"/>
        <v>0</v>
      </c>
    </row>
    <row r="418" spans="1:16" ht="62" outlineLevel="1" x14ac:dyDescent="0.25">
      <c r="A418" s="1160">
        <f t="shared" si="89"/>
        <v>9.4</v>
      </c>
      <c r="B418" s="1161" t="str">
        <f t="shared" si="89"/>
        <v>Part D: Providing &amp; relaying of existing internal roads within colony area and approach roads to power house &amp; construction of storm water gutter along road at various HPS under HPC Nashik</v>
      </c>
      <c r="C418" s="1162" t="str">
        <f t="shared" si="89"/>
        <v>MERC/CAPEX/20162017/04757</v>
      </c>
      <c r="D418" s="1081">
        <f t="shared" si="89"/>
        <v>43061</v>
      </c>
      <c r="E418" s="1163">
        <f t="shared" si="89"/>
        <v>9.5811028659999984</v>
      </c>
      <c r="F418" s="1177">
        <f t="shared" si="90"/>
        <v>4.0537161709999996</v>
      </c>
      <c r="G418" s="1177">
        <f t="shared" si="91"/>
        <v>4.0537161709999996</v>
      </c>
      <c r="H418" s="1177">
        <f t="shared" si="84"/>
        <v>0</v>
      </c>
      <c r="I418" s="1158">
        <v>0</v>
      </c>
      <c r="J418" s="1158">
        <v>0</v>
      </c>
      <c r="K418" s="1177"/>
      <c r="L418" s="1177"/>
      <c r="M418" s="1177">
        <f t="shared" si="85"/>
        <v>0</v>
      </c>
      <c r="N418" s="1177">
        <f t="shared" si="86"/>
        <v>0</v>
      </c>
      <c r="O418" s="1159">
        <f t="shared" si="92"/>
        <v>0</v>
      </c>
      <c r="P418" s="1014">
        <f t="shared" si="93"/>
        <v>0</v>
      </c>
    </row>
    <row r="419" spans="1:16" ht="46.5" outlineLevel="1" x14ac:dyDescent="0.25">
      <c r="A419" s="1153">
        <f t="shared" si="89"/>
        <v>10</v>
      </c>
      <c r="B419" s="1154" t="str">
        <f t="shared" si="89"/>
        <v>Upgradation of existing PLC system to latest symphony plus SCADA &amp; DCS system of Ghatghar HPS (2x125 MW) under HPS Nasik</v>
      </c>
      <c r="C419" s="1155" t="str">
        <f t="shared" si="89"/>
        <v>MERC/CAPEX/20172018/0198</v>
      </c>
      <c r="D419" s="1156">
        <f t="shared" si="89"/>
        <v>43137</v>
      </c>
      <c r="E419" s="1157">
        <f t="shared" si="89"/>
        <v>13.345000000000001</v>
      </c>
      <c r="F419" s="1158">
        <f t="shared" si="90"/>
        <v>0</v>
      </c>
      <c r="G419" s="1158">
        <f t="shared" si="91"/>
        <v>0</v>
      </c>
      <c r="H419" s="1158">
        <f t="shared" si="84"/>
        <v>0</v>
      </c>
      <c r="I419" s="1158">
        <v>0</v>
      </c>
      <c r="J419" s="1158">
        <v>0</v>
      </c>
      <c r="K419" s="1158"/>
      <c r="L419" s="1158"/>
      <c r="M419" s="1158">
        <f t="shared" si="85"/>
        <v>0</v>
      </c>
      <c r="N419" s="1158">
        <f t="shared" si="86"/>
        <v>0</v>
      </c>
      <c r="O419" s="1159">
        <f t="shared" si="92"/>
        <v>0</v>
      </c>
      <c r="P419" s="1014">
        <f t="shared" si="93"/>
        <v>0</v>
      </c>
    </row>
    <row r="420" spans="1:16" ht="46.5" outlineLevel="1" x14ac:dyDescent="0.25">
      <c r="A420" s="1160">
        <f t="shared" si="89"/>
        <v>10.1</v>
      </c>
      <c r="B420" s="1161" t="str">
        <f t="shared" si="89"/>
        <v>Upgradation of existing PLC system to latest symphony plus SCADA &amp; DCS system of Ghatghar HPS (2x125 MW) under HPS Nasik</v>
      </c>
      <c r="C420" s="1162" t="str">
        <f t="shared" si="89"/>
        <v>MERC/CAPEX/20172018/0198</v>
      </c>
      <c r="D420" s="1081">
        <f t="shared" si="89"/>
        <v>43137</v>
      </c>
      <c r="E420" s="1163">
        <f t="shared" si="89"/>
        <v>13.345000000000001</v>
      </c>
      <c r="F420" s="1177">
        <f t="shared" si="90"/>
        <v>14.55025</v>
      </c>
      <c r="G420" s="1177">
        <f t="shared" si="91"/>
        <v>14.55025</v>
      </c>
      <c r="H420" s="1177">
        <f t="shared" si="84"/>
        <v>0</v>
      </c>
      <c r="I420" s="1158">
        <v>0</v>
      </c>
      <c r="J420" s="1158">
        <v>0</v>
      </c>
      <c r="K420" s="1177"/>
      <c r="L420" s="1177"/>
      <c r="M420" s="1177">
        <f t="shared" si="85"/>
        <v>0</v>
      </c>
      <c r="N420" s="1177">
        <f t="shared" si="86"/>
        <v>0</v>
      </c>
      <c r="O420" s="1159">
        <f t="shared" si="92"/>
        <v>0</v>
      </c>
      <c r="P420" s="1014">
        <f t="shared" si="93"/>
        <v>0</v>
      </c>
    </row>
    <row r="421" spans="1:16" ht="31" outlineLevel="1" x14ac:dyDescent="0.25">
      <c r="A421" s="1153">
        <f t="shared" si="89"/>
        <v>14</v>
      </c>
      <c r="B421" s="1154" t="str">
        <f t="shared" si="89"/>
        <v>Various 14 Nos. of schemes for Hydro Power Stations under Renewable Energy Circle, Pune &amp; Nasik</v>
      </c>
      <c r="C421" s="1155" t="str">
        <f t="shared" si="89"/>
        <v>MERC/CAPEX/2020-21/WFH/SBR/ 19</v>
      </c>
      <c r="D421" s="1156">
        <f t="shared" si="89"/>
        <v>44029</v>
      </c>
      <c r="E421" s="1157">
        <f t="shared" si="89"/>
        <v>8.9129999999999985</v>
      </c>
      <c r="F421" s="1158">
        <f t="shared" si="90"/>
        <v>0</v>
      </c>
      <c r="G421" s="1158">
        <f t="shared" si="91"/>
        <v>0</v>
      </c>
      <c r="H421" s="1158">
        <f t="shared" si="84"/>
        <v>0</v>
      </c>
      <c r="I421" s="1158">
        <v>0</v>
      </c>
      <c r="J421" s="1158">
        <v>0</v>
      </c>
      <c r="K421" s="1158"/>
      <c r="L421" s="1158"/>
      <c r="M421" s="1158">
        <f t="shared" si="85"/>
        <v>0</v>
      </c>
      <c r="N421" s="1158">
        <f t="shared" si="86"/>
        <v>0</v>
      </c>
      <c r="O421" s="1159">
        <f t="shared" si="92"/>
        <v>0</v>
      </c>
      <c r="P421" s="1014">
        <f t="shared" si="93"/>
        <v>0</v>
      </c>
    </row>
    <row r="422" spans="1:16" ht="31" outlineLevel="1" x14ac:dyDescent="0.25">
      <c r="A422" s="1164">
        <f t="shared" si="89"/>
        <v>14.1</v>
      </c>
      <c r="B422" s="1161" t="str">
        <f t="shared" si="89"/>
        <v>Schme-C :Replacement of existing Energy meters by 0.2S Class Energy meters at various HPS.</v>
      </c>
      <c r="C422" s="1162" t="str">
        <f t="shared" si="89"/>
        <v>MERC/CAPEX/2020-21/WFH/SBR/ 19</v>
      </c>
      <c r="D422" s="1081">
        <f t="shared" si="89"/>
        <v>44029</v>
      </c>
      <c r="E422" s="1163">
        <f t="shared" si="89"/>
        <v>0.10199999999999999</v>
      </c>
      <c r="F422" s="1177">
        <f t="shared" si="90"/>
        <v>0</v>
      </c>
      <c r="G422" s="1177">
        <f t="shared" si="91"/>
        <v>0</v>
      </c>
      <c r="H422" s="1177">
        <f t="shared" si="84"/>
        <v>0</v>
      </c>
      <c r="I422" s="1158">
        <v>0</v>
      </c>
      <c r="J422" s="1158">
        <v>0</v>
      </c>
      <c r="K422" s="1177"/>
      <c r="L422" s="1177"/>
      <c r="M422" s="1177">
        <f t="shared" si="85"/>
        <v>0</v>
      </c>
      <c r="N422" s="1177">
        <f t="shared" si="86"/>
        <v>0</v>
      </c>
      <c r="O422" s="1159">
        <f t="shared" si="92"/>
        <v>0</v>
      </c>
      <c r="P422" s="1014">
        <f t="shared" si="93"/>
        <v>0</v>
      </c>
    </row>
    <row r="423" spans="1:16" ht="31" outlineLevel="1" x14ac:dyDescent="0.25">
      <c r="A423" s="1164">
        <f t="shared" si="89"/>
        <v>14.2</v>
      </c>
      <c r="B423" s="1161" t="str">
        <f t="shared" si="89"/>
        <v>Schme-F: Replacement of 220V / 300AH Float cum boost charger with integrated DCDB for Bhatsa Hydro Power Stn.</v>
      </c>
      <c r="C423" s="1162" t="str">
        <f t="shared" si="89"/>
        <v>MERC/CAPEX/2020-21/WFH/SBR/ 19</v>
      </c>
      <c r="D423" s="1081">
        <f t="shared" si="89"/>
        <v>44029</v>
      </c>
      <c r="E423" s="1163">
        <f t="shared" si="89"/>
        <v>0.17299999999999999</v>
      </c>
      <c r="F423" s="1177">
        <f t="shared" si="90"/>
        <v>0.11446000000000001</v>
      </c>
      <c r="G423" s="1177">
        <f t="shared" si="91"/>
        <v>0.11446000000000001</v>
      </c>
      <c r="H423" s="1177">
        <f t="shared" si="84"/>
        <v>0</v>
      </c>
      <c r="I423" s="1158">
        <v>0</v>
      </c>
      <c r="J423" s="1158">
        <v>0</v>
      </c>
      <c r="K423" s="1177"/>
      <c r="L423" s="1177"/>
      <c r="M423" s="1177">
        <f t="shared" si="85"/>
        <v>0</v>
      </c>
      <c r="N423" s="1177">
        <f t="shared" si="86"/>
        <v>0</v>
      </c>
      <c r="O423" s="1159">
        <f t="shared" si="92"/>
        <v>0</v>
      </c>
      <c r="P423" s="1014">
        <f t="shared" si="93"/>
        <v>0</v>
      </c>
    </row>
    <row r="424" spans="1:16" ht="31" outlineLevel="1" x14ac:dyDescent="0.25">
      <c r="A424" s="1164">
        <f t="shared" si="89"/>
        <v>14.3</v>
      </c>
      <c r="B424" s="1161" t="str">
        <f t="shared" si="89"/>
        <v>Schme-G: Replacement of 220V / 300AH Float cum boost charger with integrated DCDB for Surya Hydro Power Stn.</v>
      </c>
      <c r="C424" s="1162" t="str">
        <f t="shared" si="89"/>
        <v>MERC/CAPEX/2020-21/WFH/SBR/ 19</v>
      </c>
      <c r="D424" s="1081">
        <f t="shared" si="89"/>
        <v>44029</v>
      </c>
      <c r="E424" s="1163">
        <f t="shared" si="89"/>
        <v>0.17299999999999999</v>
      </c>
      <c r="F424" s="1177">
        <f t="shared" si="90"/>
        <v>0.11446000000000001</v>
      </c>
      <c r="G424" s="1177">
        <f t="shared" si="91"/>
        <v>0.11446000000000001</v>
      </c>
      <c r="H424" s="1177">
        <f t="shared" si="84"/>
        <v>0</v>
      </c>
      <c r="I424" s="1158">
        <v>0</v>
      </c>
      <c r="J424" s="1158">
        <v>0</v>
      </c>
      <c r="K424" s="1177"/>
      <c r="L424" s="1177"/>
      <c r="M424" s="1177">
        <f t="shared" si="85"/>
        <v>0</v>
      </c>
      <c r="N424" s="1177">
        <f t="shared" si="86"/>
        <v>0</v>
      </c>
      <c r="O424" s="1159">
        <f t="shared" si="92"/>
        <v>0</v>
      </c>
      <c r="P424" s="1014">
        <f t="shared" si="93"/>
        <v>0</v>
      </c>
    </row>
    <row r="425" spans="1:16" ht="29" outlineLevel="1" x14ac:dyDescent="0.25">
      <c r="A425" s="1164">
        <f t="shared" si="89"/>
        <v>14.4</v>
      </c>
      <c r="B425" s="1161" t="str">
        <f t="shared" si="89"/>
        <v>Schme-H: Supply 24 point Chartless recorder for Bhatsa HPS.</v>
      </c>
      <c r="C425" s="1162" t="str">
        <f t="shared" si="89"/>
        <v>MERC/CAPEX/2020-21/WFH/SBR/ 19</v>
      </c>
      <c r="D425" s="1081">
        <f t="shared" si="89"/>
        <v>44029</v>
      </c>
      <c r="E425" s="1163">
        <f t="shared" si="89"/>
        <v>5.8999999999999997E-2</v>
      </c>
      <c r="F425" s="1177">
        <f t="shared" si="90"/>
        <v>2.02455E-2</v>
      </c>
      <c r="G425" s="1177">
        <f t="shared" si="91"/>
        <v>2.02455E-2</v>
      </c>
      <c r="H425" s="1177">
        <f t="shared" si="84"/>
        <v>0</v>
      </c>
      <c r="I425" s="1158">
        <v>0</v>
      </c>
      <c r="J425" s="1158">
        <v>0</v>
      </c>
      <c r="K425" s="1177"/>
      <c r="L425" s="1177"/>
      <c r="M425" s="1177">
        <f t="shared" si="85"/>
        <v>0</v>
      </c>
      <c r="N425" s="1177">
        <f t="shared" si="86"/>
        <v>0</v>
      </c>
      <c r="O425" s="1159">
        <f t="shared" si="92"/>
        <v>0</v>
      </c>
      <c r="P425" s="1014">
        <f t="shared" si="93"/>
        <v>0</v>
      </c>
    </row>
    <row r="426" spans="1:16" ht="31" outlineLevel="1" x14ac:dyDescent="0.25">
      <c r="A426" s="1164">
        <f t="shared" si="89"/>
        <v>14.5</v>
      </c>
      <c r="B426" s="1161" t="str">
        <f t="shared" si="89"/>
        <v>Schme-I: Supply Erection, testing &amp; commissioning of Digital governing system for 06MW Surya HPS.</v>
      </c>
      <c r="C426" s="1162" t="str">
        <f t="shared" si="89"/>
        <v>MERC/CAPEX/2020-21/WFH/SBR/ 19</v>
      </c>
      <c r="D426" s="1081">
        <f t="shared" si="89"/>
        <v>44029</v>
      </c>
      <c r="E426" s="1163">
        <f t="shared" si="89"/>
        <v>1.954</v>
      </c>
      <c r="F426" s="1177">
        <f t="shared" si="90"/>
        <v>1.954</v>
      </c>
      <c r="G426" s="1177">
        <f t="shared" si="91"/>
        <v>1.954</v>
      </c>
      <c r="H426" s="1177">
        <f t="shared" si="84"/>
        <v>0</v>
      </c>
      <c r="I426" s="1158">
        <v>0</v>
      </c>
      <c r="J426" s="1158">
        <v>0</v>
      </c>
      <c r="K426" s="1177"/>
      <c r="L426" s="1177"/>
      <c r="M426" s="1177">
        <f t="shared" si="85"/>
        <v>0</v>
      </c>
      <c r="N426" s="1177">
        <f t="shared" si="86"/>
        <v>0</v>
      </c>
      <c r="O426" s="1159">
        <f t="shared" si="92"/>
        <v>0</v>
      </c>
      <c r="P426" s="1014">
        <f t="shared" si="93"/>
        <v>0</v>
      </c>
    </row>
    <row r="427" spans="1:16" ht="46.5" outlineLevel="1" x14ac:dyDescent="0.25">
      <c r="A427" s="1164">
        <f t="shared" ref="A427:E442" si="94">A329</f>
        <v>14.6</v>
      </c>
      <c r="B427" s="1161" t="str">
        <f t="shared" si="94"/>
        <v>Schme-J: Supply, Erection, testing &amp; commissioning of Digital governing system and Hydraulic oil pressure unit for 15 MW Bhatsa HPS.</v>
      </c>
      <c r="C427" s="1162" t="str">
        <f t="shared" si="94"/>
        <v>MERC/CAPEX/2020-21/WFH/SBR/ 19</v>
      </c>
      <c r="D427" s="1081">
        <f t="shared" si="94"/>
        <v>44029</v>
      </c>
      <c r="E427" s="1163">
        <f t="shared" si="94"/>
        <v>2.0270000000000001</v>
      </c>
      <c r="F427" s="1177">
        <f t="shared" si="90"/>
        <v>2.0502972000000002</v>
      </c>
      <c r="G427" s="1177">
        <f t="shared" si="91"/>
        <v>1.5936372000000001</v>
      </c>
      <c r="H427" s="1177">
        <f t="shared" si="84"/>
        <v>0.45666000000000007</v>
      </c>
      <c r="I427" s="1158">
        <v>0</v>
      </c>
      <c r="J427" s="1158">
        <v>0</v>
      </c>
      <c r="K427" s="1177"/>
      <c r="L427" s="1177"/>
      <c r="M427" s="1177">
        <f t="shared" si="85"/>
        <v>0</v>
      </c>
      <c r="N427" s="1177">
        <f t="shared" si="86"/>
        <v>0.45666000000000007</v>
      </c>
      <c r="O427" s="1159">
        <f t="shared" si="92"/>
        <v>0</v>
      </c>
      <c r="P427" s="1014">
        <f t="shared" si="93"/>
        <v>0</v>
      </c>
    </row>
    <row r="428" spans="1:16" ht="31" outlineLevel="1" x14ac:dyDescent="0.25">
      <c r="A428" s="1164">
        <f t="shared" si="94"/>
        <v>14.7</v>
      </c>
      <c r="B428" s="1161" t="str">
        <f t="shared" si="94"/>
        <v>Schme-K: Supply, Retrofitting, up gradation, Commissioning of Generator protection system at Paithan HPS.</v>
      </c>
      <c r="C428" s="1162" t="str">
        <f t="shared" si="94"/>
        <v>MERC/CAPEX/2020-21/WFH/SBR/ 19</v>
      </c>
      <c r="D428" s="1081">
        <f t="shared" si="94"/>
        <v>44029</v>
      </c>
      <c r="E428" s="1163">
        <f t="shared" si="94"/>
        <v>0.87</v>
      </c>
      <c r="F428" s="1177">
        <f t="shared" si="90"/>
        <v>0.87</v>
      </c>
      <c r="G428" s="1177">
        <f t="shared" si="91"/>
        <v>0.87</v>
      </c>
      <c r="H428" s="1177">
        <f t="shared" si="84"/>
        <v>0</v>
      </c>
      <c r="I428" s="1158">
        <v>0</v>
      </c>
      <c r="J428" s="1158">
        <v>0</v>
      </c>
      <c r="K428" s="1177"/>
      <c r="L428" s="1177"/>
      <c r="M428" s="1177">
        <f t="shared" si="85"/>
        <v>0</v>
      </c>
      <c r="N428" s="1177">
        <f t="shared" si="86"/>
        <v>0</v>
      </c>
      <c r="O428" s="1159">
        <f t="shared" si="92"/>
        <v>0</v>
      </c>
      <c r="P428" s="1014">
        <f t="shared" si="93"/>
        <v>0</v>
      </c>
    </row>
    <row r="429" spans="1:16" ht="31" outlineLevel="1" x14ac:dyDescent="0.25">
      <c r="A429" s="1164">
        <f t="shared" si="94"/>
        <v>14.8</v>
      </c>
      <c r="B429" s="1161" t="str">
        <f t="shared" si="94"/>
        <v>Schme-L: Replacement of existing compressor with new compressor (1 Nos.) at Paithan HPS</v>
      </c>
      <c r="C429" s="1162" t="str">
        <f t="shared" si="94"/>
        <v>MERC/CAPEX/2020-21/WFH/SBR/ 19</v>
      </c>
      <c r="D429" s="1081">
        <f t="shared" si="94"/>
        <v>44029</v>
      </c>
      <c r="E429" s="1163">
        <f t="shared" si="94"/>
        <v>0.46700000000000003</v>
      </c>
      <c r="F429" s="1177">
        <f t="shared" si="90"/>
        <v>0.46700000000000003</v>
      </c>
      <c r="G429" s="1177">
        <f t="shared" si="91"/>
        <v>0.46700000000000003</v>
      </c>
      <c r="H429" s="1177">
        <f t="shared" si="84"/>
        <v>0</v>
      </c>
      <c r="I429" s="1158">
        <v>0</v>
      </c>
      <c r="J429" s="1158">
        <v>0</v>
      </c>
      <c r="K429" s="1177"/>
      <c r="L429" s="1177"/>
      <c r="M429" s="1177">
        <f t="shared" si="85"/>
        <v>0</v>
      </c>
      <c r="N429" s="1177">
        <f t="shared" si="86"/>
        <v>0</v>
      </c>
      <c r="O429" s="1159">
        <f t="shared" si="92"/>
        <v>0</v>
      </c>
      <c r="P429" s="1014">
        <f t="shared" si="93"/>
        <v>0</v>
      </c>
    </row>
    <row r="430" spans="1:16" ht="46.5" outlineLevel="1" x14ac:dyDescent="0.25">
      <c r="A430" s="1164">
        <f t="shared" si="94"/>
        <v>14.9</v>
      </c>
      <c r="B430" s="1161" t="str">
        <f t="shared" si="94"/>
        <v>Schme-M: Retrofitting, up gradation &amp; Commissioning of Protection System for Generator, Transformer and Line at Surya Hydro Power Station</v>
      </c>
      <c r="C430" s="1162" t="str">
        <f t="shared" si="94"/>
        <v>MERC/CAPEX/2020-21/WFH/SBR/ 19</v>
      </c>
      <c r="D430" s="1081">
        <f t="shared" si="94"/>
        <v>44029</v>
      </c>
      <c r="E430" s="1163">
        <f t="shared" si="94"/>
        <v>0.69100000000000006</v>
      </c>
      <c r="F430" s="1177">
        <f t="shared" si="90"/>
        <v>0.69730939999999997</v>
      </c>
      <c r="G430" s="1177">
        <f t="shared" si="91"/>
        <v>0.68498999999999999</v>
      </c>
      <c r="H430" s="1177">
        <f t="shared" si="84"/>
        <v>1.231939999999998E-2</v>
      </c>
      <c r="I430" s="1158">
        <v>0</v>
      </c>
      <c r="J430" s="1158">
        <v>0</v>
      </c>
      <c r="K430" s="1177"/>
      <c r="L430" s="1177"/>
      <c r="M430" s="1177">
        <f t="shared" si="85"/>
        <v>0</v>
      </c>
      <c r="N430" s="1177">
        <f t="shared" si="86"/>
        <v>1.231939999999998E-2</v>
      </c>
      <c r="O430" s="1159">
        <f t="shared" si="92"/>
        <v>0</v>
      </c>
      <c r="P430" s="1014">
        <f t="shared" si="93"/>
        <v>0</v>
      </c>
    </row>
    <row r="431" spans="1:16" ht="31" outlineLevel="1" x14ac:dyDescent="0.25">
      <c r="A431" s="1165">
        <f t="shared" si="94"/>
        <v>14.1</v>
      </c>
      <c r="B431" s="1161" t="str">
        <f t="shared" si="94"/>
        <v>Schme-N: Procurement of Static excitation system at Surya Hydro Power Station.</v>
      </c>
      <c r="C431" s="1162" t="str">
        <f t="shared" si="94"/>
        <v>MERC/CAPEX/2020-21/WFH/SBR/ 19</v>
      </c>
      <c r="D431" s="1081">
        <f t="shared" si="94"/>
        <v>44029</v>
      </c>
      <c r="E431" s="1163">
        <f t="shared" si="94"/>
        <v>1.5469999999999999</v>
      </c>
      <c r="F431" s="1177">
        <f t="shared" si="90"/>
        <v>1.5469999999999999</v>
      </c>
      <c r="G431" s="1177">
        <f t="shared" si="91"/>
        <v>1.5469999999999999</v>
      </c>
      <c r="H431" s="1177">
        <f t="shared" si="84"/>
        <v>0</v>
      </c>
      <c r="I431" s="1158">
        <v>0</v>
      </c>
      <c r="J431" s="1158">
        <v>0</v>
      </c>
      <c r="K431" s="1177"/>
      <c r="L431" s="1177"/>
      <c r="M431" s="1177">
        <f t="shared" si="85"/>
        <v>0</v>
      </c>
      <c r="N431" s="1177">
        <f t="shared" si="86"/>
        <v>0</v>
      </c>
      <c r="O431" s="1159">
        <f t="shared" si="92"/>
        <v>0</v>
      </c>
      <c r="P431" s="1014">
        <f t="shared" si="93"/>
        <v>0</v>
      </c>
    </row>
    <row r="432" spans="1:16" ht="29" outlineLevel="1" x14ac:dyDescent="0.25">
      <c r="A432" s="1160">
        <f t="shared" si="94"/>
        <v>0</v>
      </c>
      <c r="B432" s="1161" t="str">
        <f t="shared" si="94"/>
        <v>IDC</v>
      </c>
      <c r="C432" s="1162" t="str">
        <f t="shared" si="94"/>
        <v>MERC/CAPEX/2020-21/WFH/SBR/ 19</v>
      </c>
      <c r="D432" s="1081">
        <f t="shared" si="94"/>
        <v>44029</v>
      </c>
      <c r="E432" s="1163">
        <f t="shared" si="94"/>
        <v>0.85</v>
      </c>
      <c r="F432" s="1177">
        <f t="shared" si="90"/>
        <v>0</v>
      </c>
      <c r="G432" s="1177">
        <f t="shared" si="91"/>
        <v>0</v>
      </c>
      <c r="H432" s="1177">
        <f t="shared" si="84"/>
        <v>0</v>
      </c>
      <c r="I432" s="1158">
        <v>0</v>
      </c>
      <c r="J432" s="1158">
        <v>0</v>
      </c>
      <c r="K432" s="1177"/>
      <c r="L432" s="1177"/>
      <c r="M432" s="1177">
        <f t="shared" si="85"/>
        <v>0</v>
      </c>
      <c r="N432" s="1177">
        <f t="shared" si="86"/>
        <v>0</v>
      </c>
      <c r="O432" s="1159">
        <f t="shared" si="92"/>
        <v>0</v>
      </c>
      <c r="P432" s="1014">
        <f t="shared" si="93"/>
        <v>0</v>
      </c>
    </row>
    <row r="433" spans="1:16" ht="15.5" outlineLevel="1" x14ac:dyDescent="0.25">
      <c r="A433" s="1160">
        <f t="shared" si="94"/>
        <v>0</v>
      </c>
      <c r="B433" s="1161">
        <f t="shared" si="94"/>
        <v>0</v>
      </c>
      <c r="C433" s="984">
        <f t="shared" si="94"/>
        <v>0</v>
      </c>
      <c r="D433" s="1081" t="str">
        <f t="shared" si="94"/>
        <v>-</v>
      </c>
      <c r="E433" s="1178">
        <f t="shared" si="94"/>
        <v>0</v>
      </c>
      <c r="F433" s="1179">
        <f t="shared" si="90"/>
        <v>0</v>
      </c>
      <c r="G433" s="1179">
        <f t="shared" si="91"/>
        <v>0</v>
      </c>
      <c r="H433" s="1179">
        <f t="shared" si="84"/>
        <v>0</v>
      </c>
      <c r="I433" s="1158">
        <v>0</v>
      </c>
      <c r="J433" s="1158">
        <v>0</v>
      </c>
      <c r="K433" s="1179"/>
      <c r="L433" s="1179"/>
      <c r="M433" s="1179">
        <f t="shared" si="85"/>
        <v>0</v>
      </c>
      <c r="N433" s="1179">
        <f t="shared" si="86"/>
        <v>0</v>
      </c>
      <c r="O433" s="1159">
        <f t="shared" si="92"/>
        <v>0</v>
      </c>
      <c r="P433" s="1014">
        <f t="shared" si="93"/>
        <v>0</v>
      </c>
    </row>
    <row r="434" spans="1:16" ht="15.5" outlineLevel="1" x14ac:dyDescent="0.25">
      <c r="A434" s="1047">
        <f t="shared" si="94"/>
        <v>0</v>
      </c>
      <c r="B434" s="1150" t="str">
        <f t="shared" si="94"/>
        <v>Yet to be approved by MERC (F Y 2024-25)</v>
      </c>
      <c r="C434" s="984">
        <f t="shared" si="94"/>
        <v>0</v>
      </c>
      <c r="D434" s="1081" t="str">
        <f t="shared" si="94"/>
        <v>-</v>
      </c>
      <c r="E434" s="1178">
        <f t="shared" si="94"/>
        <v>0</v>
      </c>
      <c r="F434" s="1179">
        <f t="shared" si="90"/>
        <v>0</v>
      </c>
      <c r="G434" s="1179">
        <f t="shared" si="91"/>
        <v>0</v>
      </c>
      <c r="H434" s="1179">
        <f t="shared" si="84"/>
        <v>0</v>
      </c>
      <c r="I434" s="1158">
        <v>0</v>
      </c>
      <c r="J434" s="1158">
        <v>0</v>
      </c>
      <c r="K434" s="1179"/>
      <c r="L434" s="1179"/>
      <c r="M434" s="1179">
        <f t="shared" si="85"/>
        <v>0</v>
      </c>
      <c r="N434" s="1179">
        <f t="shared" si="86"/>
        <v>0</v>
      </c>
    </row>
    <row r="435" spans="1:16" ht="46.5" outlineLevel="1" x14ac:dyDescent="0.25">
      <c r="A435" s="1044">
        <f t="shared" si="94"/>
        <v>1</v>
      </c>
      <c r="B435" s="1169" t="str">
        <f t="shared" si="94"/>
        <v xml:space="preserve">Post-facto DPR for “Urgent restoration and Life Enhancement
of Unit-1, 125MW M/s Fuji make Hydro Generator for
prolonged efficient operation at Ghatghar HPS                                            </v>
      </c>
      <c r="C435" s="1155">
        <f t="shared" si="94"/>
        <v>0</v>
      </c>
      <c r="D435" s="1156" t="str">
        <f t="shared" si="94"/>
        <v>-</v>
      </c>
      <c r="E435" s="1157">
        <f t="shared" si="94"/>
        <v>0</v>
      </c>
      <c r="F435" s="1180">
        <f t="shared" si="90"/>
        <v>14.34</v>
      </c>
      <c r="G435" s="1180">
        <f t="shared" si="91"/>
        <v>14.34</v>
      </c>
      <c r="H435" s="1180">
        <f t="shared" si="84"/>
        <v>0</v>
      </c>
      <c r="I435" s="1158">
        <v>0</v>
      </c>
      <c r="J435" s="1158">
        <v>0</v>
      </c>
      <c r="K435" s="1180"/>
      <c r="L435" s="1180"/>
      <c r="M435" s="1180">
        <f t="shared" si="85"/>
        <v>0</v>
      </c>
      <c r="N435" s="1180">
        <f t="shared" si="86"/>
        <v>0</v>
      </c>
    </row>
    <row r="436" spans="1:16" ht="31" outlineLevel="1" x14ac:dyDescent="0.25">
      <c r="A436" s="1044">
        <f t="shared" si="94"/>
        <v>2</v>
      </c>
      <c r="B436" s="1169" t="str">
        <f t="shared" si="94"/>
        <v>Dismantling and assembly of Unit-2 stator and other allied works at Ghatghar HPS</v>
      </c>
      <c r="C436" s="1162">
        <f t="shared" si="94"/>
        <v>0</v>
      </c>
      <c r="D436" s="1081" t="str">
        <f t="shared" si="94"/>
        <v>-</v>
      </c>
      <c r="E436" s="1163">
        <f t="shared" si="94"/>
        <v>0</v>
      </c>
      <c r="F436" s="1177">
        <f t="shared" si="90"/>
        <v>0.92</v>
      </c>
      <c r="G436" s="1177">
        <f t="shared" si="91"/>
        <v>0.92</v>
      </c>
      <c r="H436" s="1177">
        <f t="shared" si="84"/>
        <v>0</v>
      </c>
      <c r="I436" s="1158">
        <v>0</v>
      </c>
      <c r="J436" s="1158">
        <v>0</v>
      </c>
      <c r="K436" s="1177"/>
      <c r="L436" s="1177"/>
      <c r="M436" s="1177">
        <f t="shared" si="85"/>
        <v>0</v>
      </c>
      <c r="N436" s="1177">
        <f t="shared" si="86"/>
        <v>0</v>
      </c>
    </row>
    <row r="437" spans="1:16" ht="46.5" outlineLevel="1" x14ac:dyDescent="0.25">
      <c r="A437" s="1044">
        <f t="shared" si="94"/>
        <v>3</v>
      </c>
      <c r="B437" s="1169" t="str">
        <f t="shared" si="94"/>
        <v>Urgent restoration and Life Enhancement of Unit-2, 125MW M/s Fuji make Hydro Generator for prolonged efficient operation at Ghatghar HPS</v>
      </c>
      <c r="C437" s="1162">
        <f t="shared" si="94"/>
        <v>0</v>
      </c>
      <c r="D437" s="1081" t="str">
        <f t="shared" si="94"/>
        <v>-</v>
      </c>
      <c r="E437" s="1163">
        <f t="shared" si="94"/>
        <v>0</v>
      </c>
      <c r="F437" s="1177">
        <f t="shared" si="90"/>
        <v>12.69</v>
      </c>
      <c r="G437" s="1177">
        <f t="shared" si="91"/>
        <v>12.69</v>
      </c>
      <c r="H437" s="1177">
        <f t="shared" si="84"/>
        <v>0</v>
      </c>
      <c r="I437" s="1158">
        <v>0</v>
      </c>
      <c r="J437" s="1158">
        <v>0</v>
      </c>
      <c r="K437" s="1177"/>
      <c r="L437" s="1177"/>
      <c r="M437" s="1177">
        <f t="shared" si="85"/>
        <v>0</v>
      </c>
      <c r="N437" s="1177">
        <f t="shared" si="86"/>
        <v>0</v>
      </c>
    </row>
    <row r="438" spans="1:16" ht="31" outlineLevel="1" x14ac:dyDescent="0.25">
      <c r="A438" s="1168">
        <f t="shared" si="94"/>
        <v>4</v>
      </c>
      <c r="B438" s="1169" t="str">
        <f t="shared" si="94"/>
        <v>Work of unit 2 stator core top lamination replacement work of GHPS</v>
      </c>
      <c r="C438" s="1162">
        <f t="shared" si="94"/>
        <v>0</v>
      </c>
      <c r="D438" s="1081" t="str">
        <f t="shared" si="94"/>
        <v>-</v>
      </c>
      <c r="E438" s="1163">
        <f t="shared" si="94"/>
        <v>0</v>
      </c>
      <c r="F438" s="1177">
        <f t="shared" si="90"/>
        <v>1.57</v>
      </c>
      <c r="G438" s="1177">
        <f t="shared" si="91"/>
        <v>1.57</v>
      </c>
      <c r="H438" s="1177">
        <f t="shared" si="84"/>
        <v>0</v>
      </c>
      <c r="I438" s="1158">
        <v>0</v>
      </c>
      <c r="J438" s="1158">
        <v>0</v>
      </c>
      <c r="K438" s="1177"/>
      <c r="L438" s="1177"/>
      <c r="M438" s="1177">
        <f t="shared" si="85"/>
        <v>0</v>
      </c>
      <c r="N438" s="1177">
        <f t="shared" si="86"/>
        <v>0</v>
      </c>
    </row>
    <row r="439" spans="1:16" ht="15.5" outlineLevel="1" x14ac:dyDescent="0.25">
      <c r="A439" s="1011">
        <f t="shared" si="94"/>
        <v>0</v>
      </c>
      <c r="B439" s="1150" t="str">
        <f t="shared" si="94"/>
        <v>(ii) Yet to be submitted to MERC(F Y 2025-26)</v>
      </c>
      <c r="C439" s="1162">
        <f t="shared" si="94"/>
        <v>0</v>
      </c>
      <c r="D439" s="1081" t="str">
        <f t="shared" si="94"/>
        <v>-</v>
      </c>
      <c r="E439" s="1163">
        <f t="shared" si="94"/>
        <v>0</v>
      </c>
      <c r="F439" s="1177">
        <f t="shared" si="90"/>
        <v>0</v>
      </c>
      <c r="G439" s="1177">
        <f t="shared" si="91"/>
        <v>0</v>
      </c>
      <c r="H439" s="1177">
        <f t="shared" si="84"/>
        <v>0</v>
      </c>
      <c r="I439" s="1158">
        <v>0</v>
      </c>
      <c r="J439" s="1158">
        <v>0</v>
      </c>
      <c r="K439" s="1177"/>
      <c r="L439" s="1177"/>
      <c r="M439" s="1177">
        <f t="shared" si="85"/>
        <v>0</v>
      </c>
      <c r="N439" s="1177">
        <f t="shared" si="86"/>
        <v>0</v>
      </c>
    </row>
    <row r="440" spans="1:16" ht="15.5" outlineLevel="1" x14ac:dyDescent="0.25">
      <c r="A440" s="1011">
        <f t="shared" si="94"/>
        <v>0</v>
      </c>
      <c r="B440" s="1150" t="str">
        <f t="shared" si="94"/>
        <v>DPR 1</v>
      </c>
      <c r="C440" s="1162">
        <f t="shared" si="94"/>
        <v>0</v>
      </c>
      <c r="D440" s="1081" t="str">
        <f t="shared" si="94"/>
        <v>-</v>
      </c>
      <c r="E440" s="1163">
        <f t="shared" si="94"/>
        <v>0</v>
      </c>
      <c r="F440" s="1177">
        <f t="shared" si="90"/>
        <v>0</v>
      </c>
      <c r="G440" s="1177">
        <f t="shared" si="91"/>
        <v>0</v>
      </c>
      <c r="H440" s="1177">
        <f t="shared" si="84"/>
        <v>0</v>
      </c>
      <c r="I440" s="1158">
        <v>0</v>
      </c>
      <c r="J440" s="1158">
        <v>0</v>
      </c>
      <c r="K440" s="1177"/>
      <c r="L440" s="1177"/>
      <c r="M440" s="1177">
        <f t="shared" si="85"/>
        <v>0</v>
      </c>
      <c r="N440" s="1177">
        <f t="shared" si="86"/>
        <v>0</v>
      </c>
    </row>
    <row r="441" spans="1:16" ht="31" outlineLevel="1" x14ac:dyDescent="0.25">
      <c r="A441" s="1160">
        <f t="shared" si="94"/>
        <v>1</v>
      </c>
      <c r="B441" s="1169" t="str">
        <f t="shared" si="94"/>
        <v xml:space="preserve">Procurement &amp; commissioning of Battery bank, 55 cells of 2V  2035AH YHP39 Exide make at Ghatghar HPS </v>
      </c>
      <c r="C441" s="1162">
        <f t="shared" si="94"/>
        <v>0</v>
      </c>
      <c r="D441" s="1081" t="str">
        <f t="shared" si="94"/>
        <v>-</v>
      </c>
      <c r="E441" s="1163">
        <f t="shared" si="94"/>
        <v>0</v>
      </c>
      <c r="F441" s="1177">
        <f t="shared" si="90"/>
        <v>1.25</v>
      </c>
      <c r="G441" s="1177">
        <f t="shared" si="91"/>
        <v>1.25</v>
      </c>
      <c r="H441" s="1177">
        <f t="shared" si="84"/>
        <v>0</v>
      </c>
      <c r="I441" s="1158">
        <v>0</v>
      </c>
      <c r="J441" s="1158">
        <v>0</v>
      </c>
      <c r="K441" s="1177"/>
      <c r="L441" s="1177"/>
      <c r="M441" s="1177">
        <f t="shared" si="85"/>
        <v>0</v>
      </c>
      <c r="N441" s="1177">
        <f t="shared" si="86"/>
        <v>0</v>
      </c>
    </row>
    <row r="442" spans="1:16" ht="31" outlineLevel="1" x14ac:dyDescent="0.25">
      <c r="A442" s="1160">
        <f t="shared" si="94"/>
        <v>2</v>
      </c>
      <c r="B442" s="1169" t="str">
        <f t="shared" si="94"/>
        <v xml:space="preserve">Complete refurbishment of Stator frame , core &amp; winding of 01 No generator stator at Ghatghar HPS. </v>
      </c>
      <c r="C442" s="1162">
        <f t="shared" si="94"/>
        <v>0</v>
      </c>
      <c r="D442" s="1081" t="str">
        <f t="shared" si="94"/>
        <v>-</v>
      </c>
      <c r="E442" s="1163">
        <f t="shared" si="94"/>
        <v>0</v>
      </c>
      <c r="F442" s="1177">
        <f t="shared" si="90"/>
        <v>23.9</v>
      </c>
      <c r="G442" s="1177">
        <f t="shared" si="91"/>
        <v>23.9</v>
      </c>
      <c r="H442" s="1177">
        <f t="shared" si="84"/>
        <v>0</v>
      </c>
      <c r="I442" s="1158">
        <v>0</v>
      </c>
      <c r="J442" s="1158">
        <v>0</v>
      </c>
      <c r="K442" s="1177"/>
      <c r="L442" s="1177"/>
      <c r="M442" s="1177">
        <f t="shared" si="85"/>
        <v>0</v>
      </c>
      <c r="N442" s="1177">
        <f t="shared" si="86"/>
        <v>0</v>
      </c>
    </row>
    <row r="443" spans="1:16" ht="15.5" outlineLevel="1" x14ac:dyDescent="0.25">
      <c r="A443" s="1160">
        <f t="shared" ref="A443:E458" si="95">A345</f>
        <v>3</v>
      </c>
      <c r="B443" s="1169" t="str">
        <f t="shared" si="95"/>
        <v xml:space="preserve">Generator Circuit breaker Electrical OH at Ghatghar HPS. </v>
      </c>
      <c r="C443" s="1162">
        <f t="shared" si="95"/>
        <v>0</v>
      </c>
      <c r="D443" s="1156" t="str">
        <f t="shared" si="95"/>
        <v>-</v>
      </c>
      <c r="E443" s="1157">
        <f t="shared" si="95"/>
        <v>0</v>
      </c>
      <c r="F443" s="1180">
        <f t="shared" si="90"/>
        <v>7.2</v>
      </c>
      <c r="G443" s="1180">
        <f t="shared" si="91"/>
        <v>7.2</v>
      </c>
      <c r="H443" s="1180">
        <f t="shared" si="84"/>
        <v>0</v>
      </c>
      <c r="I443" s="1158">
        <v>0</v>
      </c>
      <c r="J443" s="1158">
        <v>0</v>
      </c>
      <c r="K443" s="1180"/>
      <c r="L443" s="1180"/>
      <c r="M443" s="1180">
        <f t="shared" si="85"/>
        <v>0</v>
      </c>
      <c r="N443" s="1180">
        <f t="shared" si="86"/>
        <v>0</v>
      </c>
    </row>
    <row r="444" spans="1:16" ht="15.5" outlineLevel="1" x14ac:dyDescent="0.25">
      <c r="A444" s="1160">
        <f t="shared" si="95"/>
        <v>4</v>
      </c>
      <c r="B444" s="1169" t="str">
        <f t="shared" si="95"/>
        <v xml:space="preserve">Water filter treatment plant and pipeline at Ghatghar HPS. </v>
      </c>
      <c r="C444" s="1162">
        <f t="shared" si="95"/>
        <v>0</v>
      </c>
      <c r="D444" s="1081" t="str">
        <f t="shared" si="95"/>
        <v>-</v>
      </c>
      <c r="E444" s="1163">
        <f t="shared" si="95"/>
        <v>0</v>
      </c>
      <c r="F444" s="1177">
        <f t="shared" si="90"/>
        <v>1.25</v>
      </c>
      <c r="G444" s="1177">
        <f t="shared" si="91"/>
        <v>1.25</v>
      </c>
      <c r="H444" s="1177">
        <f t="shared" si="84"/>
        <v>0</v>
      </c>
      <c r="I444" s="1158">
        <v>0</v>
      </c>
      <c r="J444" s="1158">
        <v>0</v>
      </c>
      <c r="K444" s="1177"/>
      <c r="L444" s="1177"/>
      <c r="M444" s="1177">
        <f t="shared" si="85"/>
        <v>0</v>
      </c>
      <c r="N444" s="1177">
        <f t="shared" si="86"/>
        <v>0</v>
      </c>
    </row>
    <row r="445" spans="1:16" ht="15.5" outlineLevel="1" x14ac:dyDescent="0.25">
      <c r="A445" s="1160">
        <f t="shared" si="95"/>
        <v>0</v>
      </c>
      <c r="B445" s="1150" t="str">
        <f t="shared" si="95"/>
        <v>DPR 2</v>
      </c>
      <c r="C445" s="1162">
        <f t="shared" si="95"/>
        <v>0</v>
      </c>
      <c r="D445" s="1081" t="str">
        <f t="shared" si="95"/>
        <v>-</v>
      </c>
      <c r="E445" s="1163">
        <f t="shared" si="95"/>
        <v>0</v>
      </c>
      <c r="F445" s="1177">
        <f t="shared" si="90"/>
        <v>0</v>
      </c>
      <c r="G445" s="1177">
        <f t="shared" si="91"/>
        <v>0</v>
      </c>
      <c r="H445" s="1177">
        <f t="shared" si="84"/>
        <v>0</v>
      </c>
      <c r="I445" s="1158">
        <v>0</v>
      </c>
      <c r="J445" s="1158">
        <v>0</v>
      </c>
      <c r="K445" s="1177"/>
      <c r="L445" s="1177"/>
      <c r="M445" s="1177">
        <f t="shared" si="85"/>
        <v>0</v>
      </c>
      <c r="N445" s="1177">
        <f t="shared" si="86"/>
        <v>0</v>
      </c>
    </row>
    <row r="446" spans="1:16" ht="31" outlineLevel="1" x14ac:dyDescent="0.25">
      <c r="A446" s="1011">
        <f t="shared" si="95"/>
        <v>1</v>
      </c>
      <c r="B446" s="1170" t="str">
        <f t="shared" si="95"/>
        <v xml:space="preserve">Design,supply,errection,testing &amp; commissioning of  digital governing system at Paithan HPS.                        </v>
      </c>
      <c r="C446" s="1162">
        <f t="shared" si="95"/>
        <v>0</v>
      </c>
      <c r="D446" s="1081" t="str">
        <f t="shared" si="95"/>
        <v>-</v>
      </c>
      <c r="E446" s="1163">
        <f t="shared" si="95"/>
        <v>0</v>
      </c>
      <c r="F446" s="1177">
        <f t="shared" si="90"/>
        <v>4.5</v>
      </c>
      <c r="G446" s="1177">
        <f t="shared" si="91"/>
        <v>4.5</v>
      </c>
      <c r="H446" s="1177">
        <f t="shared" si="84"/>
        <v>0</v>
      </c>
      <c r="I446" s="1158">
        <v>0</v>
      </c>
      <c r="J446" s="1158">
        <v>0</v>
      </c>
      <c r="K446" s="1177"/>
      <c r="L446" s="1177"/>
      <c r="M446" s="1177">
        <f t="shared" si="85"/>
        <v>0</v>
      </c>
      <c r="N446" s="1177">
        <f t="shared" si="86"/>
        <v>0</v>
      </c>
    </row>
    <row r="447" spans="1:16" ht="31" outlineLevel="1" x14ac:dyDescent="0.25">
      <c r="A447" s="1011">
        <f t="shared" si="95"/>
        <v>2</v>
      </c>
      <c r="B447" s="1169" t="str">
        <f t="shared" si="95"/>
        <v xml:space="preserve">Design,Supply ,testing ,erection and commissioing of DAVR system at Paithan HPS.                                                     </v>
      </c>
      <c r="C447" s="1162">
        <f t="shared" si="95"/>
        <v>0</v>
      </c>
      <c r="D447" s="1081" t="str">
        <f t="shared" si="95"/>
        <v>-</v>
      </c>
      <c r="E447" s="1163">
        <f t="shared" si="95"/>
        <v>0</v>
      </c>
      <c r="F447" s="1177">
        <f t="shared" si="90"/>
        <v>2</v>
      </c>
      <c r="G447" s="1177">
        <f t="shared" si="91"/>
        <v>2</v>
      </c>
      <c r="H447" s="1177">
        <f t="shared" si="84"/>
        <v>0</v>
      </c>
      <c r="I447" s="1158">
        <v>0</v>
      </c>
      <c r="J447" s="1158">
        <v>0</v>
      </c>
      <c r="K447" s="1177"/>
      <c r="L447" s="1177"/>
      <c r="M447" s="1177">
        <f t="shared" si="85"/>
        <v>0</v>
      </c>
      <c r="N447" s="1177">
        <f t="shared" si="86"/>
        <v>0</v>
      </c>
    </row>
    <row r="448" spans="1:16" ht="31" outlineLevel="1" x14ac:dyDescent="0.25">
      <c r="A448" s="1011">
        <f t="shared" si="95"/>
        <v>3</v>
      </c>
      <c r="B448" s="1169" t="str">
        <f t="shared" si="95"/>
        <v xml:space="preserve">Design,supply,testing ,erection and commissioing of DCS control system at Paithan HPS.                                                       </v>
      </c>
      <c r="C448" s="1162">
        <f t="shared" si="95"/>
        <v>0</v>
      </c>
      <c r="D448" s="1081" t="str">
        <f t="shared" si="95"/>
        <v>-</v>
      </c>
      <c r="E448" s="1163">
        <f t="shared" si="95"/>
        <v>0</v>
      </c>
      <c r="F448" s="1177">
        <f t="shared" si="90"/>
        <v>1.7</v>
      </c>
      <c r="G448" s="1177">
        <f t="shared" si="91"/>
        <v>1.7</v>
      </c>
      <c r="H448" s="1177">
        <f t="shared" si="84"/>
        <v>0</v>
      </c>
      <c r="I448" s="1158">
        <v>0</v>
      </c>
      <c r="J448" s="1158">
        <v>0</v>
      </c>
      <c r="K448" s="1177"/>
      <c r="L448" s="1177"/>
      <c r="M448" s="1177">
        <f t="shared" si="85"/>
        <v>0</v>
      </c>
      <c r="N448" s="1177">
        <f t="shared" si="86"/>
        <v>0</v>
      </c>
    </row>
    <row r="449" spans="1:14" ht="31" outlineLevel="1" x14ac:dyDescent="0.25">
      <c r="A449" s="1011">
        <f t="shared" si="95"/>
        <v>4</v>
      </c>
      <c r="B449" s="1169" t="str">
        <f t="shared" si="95"/>
        <v xml:space="preserve">Design,supply ,testing ,erection and commissioing of Automated Co2 fire extinguishers system  at Paithan HPS.                                         </v>
      </c>
      <c r="C449" s="1162">
        <f t="shared" si="95"/>
        <v>0</v>
      </c>
      <c r="D449" s="1081" t="str">
        <f t="shared" si="95"/>
        <v>-</v>
      </c>
      <c r="E449" s="1163">
        <f t="shared" si="95"/>
        <v>0</v>
      </c>
      <c r="F449" s="1177">
        <f t="shared" si="90"/>
        <v>0.35</v>
      </c>
      <c r="G449" s="1177">
        <f t="shared" si="91"/>
        <v>0.35</v>
      </c>
      <c r="H449" s="1177">
        <f t="shared" si="84"/>
        <v>0</v>
      </c>
      <c r="I449" s="1158">
        <v>0</v>
      </c>
      <c r="J449" s="1158">
        <v>0</v>
      </c>
      <c r="K449" s="1177"/>
      <c r="L449" s="1177"/>
      <c r="M449" s="1177">
        <f t="shared" si="85"/>
        <v>0</v>
      </c>
      <c r="N449" s="1177">
        <f t="shared" si="86"/>
        <v>0</v>
      </c>
    </row>
    <row r="450" spans="1:14" ht="31" outlineLevel="1" x14ac:dyDescent="0.25">
      <c r="A450" s="1011">
        <f t="shared" si="95"/>
        <v>5</v>
      </c>
      <c r="B450" s="1169" t="str">
        <f t="shared" si="95"/>
        <v xml:space="preserve">Design,Supply ,testing ,erection and commissioing of Numerical protection system at Yeldari HPS.                                        </v>
      </c>
      <c r="C450" s="1162">
        <f t="shared" si="95"/>
        <v>0</v>
      </c>
      <c r="D450" s="1081" t="str">
        <f t="shared" si="95"/>
        <v>-</v>
      </c>
      <c r="E450" s="1163">
        <f t="shared" si="95"/>
        <v>0</v>
      </c>
      <c r="F450" s="1177">
        <f t="shared" si="90"/>
        <v>2.5499999999999998</v>
      </c>
      <c r="G450" s="1177">
        <f t="shared" si="91"/>
        <v>2.5499999999999998</v>
      </c>
      <c r="H450" s="1177">
        <f t="shared" si="84"/>
        <v>0</v>
      </c>
      <c r="I450" s="1158">
        <v>0</v>
      </c>
      <c r="J450" s="1158">
        <v>0</v>
      </c>
      <c r="K450" s="1177"/>
      <c r="L450" s="1177"/>
      <c r="M450" s="1177">
        <f t="shared" si="85"/>
        <v>0</v>
      </c>
      <c r="N450" s="1177">
        <f t="shared" si="86"/>
        <v>0</v>
      </c>
    </row>
    <row r="451" spans="1:14" ht="31" outlineLevel="1" x14ac:dyDescent="0.25">
      <c r="A451" s="1011">
        <f t="shared" si="95"/>
        <v>6</v>
      </c>
      <c r="B451" s="1169" t="str">
        <f t="shared" si="95"/>
        <v xml:space="preserve">Design,Supply ,testing ,erection and commissioing of C&amp;I control &amp; measurement with SCADA at Yeldari HPS.                                                           </v>
      </c>
      <c r="C451" s="1162">
        <f t="shared" si="95"/>
        <v>0</v>
      </c>
      <c r="D451" s="1081" t="str">
        <f t="shared" si="95"/>
        <v>-</v>
      </c>
      <c r="E451" s="1163">
        <f t="shared" si="95"/>
        <v>0</v>
      </c>
      <c r="F451" s="1177">
        <f t="shared" si="90"/>
        <v>1</v>
      </c>
      <c r="G451" s="1177">
        <f t="shared" si="91"/>
        <v>1</v>
      </c>
      <c r="H451" s="1177">
        <f t="shared" si="84"/>
        <v>0</v>
      </c>
      <c r="I451" s="1158">
        <v>0</v>
      </c>
      <c r="J451" s="1158">
        <v>0</v>
      </c>
      <c r="K451" s="1177"/>
      <c r="L451" s="1177"/>
      <c r="M451" s="1177">
        <f t="shared" si="85"/>
        <v>0</v>
      </c>
      <c r="N451" s="1177">
        <f t="shared" si="86"/>
        <v>0</v>
      </c>
    </row>
    <row r="452" spans="1:14" ht="31" outlineLevel="1" x14ac:dyDescent="0.25">
      <c r="A452" s="1011">
        <f t="shared" si="95"/>
        <v>7</v>
      </c>
      <c r="B452" s="1169" t="str">
        <f t="shared" si="95"/>
        <v xml:space="preserve">Design,Supply ,testing ,erection and commissioing of DAVR system at Yeldari HPS                                                        </v>
      </c>
      <c r="C452" s="1162">
        <f t="shared" si="95"/>
        <v>0</v>
      </c>
      <c r="D452" s="1081" t="str">
        <f t="shared" si="95"/>
        <v>-</v>
      </c>
      <c r="E452" s="1163">
        <f t="shared" si="95"/>
        <v>0</v>
      </c>
      <c r="F452" s="1177">
        <f t="shared" si="90"/>
        <v>6</v>
      </c>
      <c r="G452" s="1177">
        <f t="shared" si="91"/>
        <v>6</v>
      </c>
      <c r="H452" s="1177">
        <f t="shared" si="84"/>
        <v>0</v>
      </c>
      <c r="I452" s="1158">
        <v>0</v>
      </c>
      <c r="J452" s="1158">
        <v>0</v>
      </c>
      <c r="K452" s="1177"/>
      <c r="L452" s="1177"/>
      <c r="M452" s="1177">
        <f t="shared" si="85"/>
        <v>0</v>
      </c>
      <c r="N452" s="1177">
        <f t="shared" si="86"/>
        <v>0</v>
      </c>
    </row>
    <row r="453" spans="1:14" ht="31" outlineLevel="1" x14ac:dyDescent="0.25">
      <c r="A453" s="1011">
        <f t="shared" si="95"/>
        <v>8</v>
      </c>
      <c r="B453" s="1169" t="str">
        <f t="shared" si="95"/>
        <v xml:space="preserve">Design,supply,errection,testing &amp; commissioning of  digital governing system at Yeldari HPS.                                           </v>
      </c>
      <c r="C453" s="1162">
        <f t="shared" si="95"/>
        <v>0</v>
      </c>
      <c r="D453" s="1081" t="str">
        <f t="shared" si="95"/>
        <v>-</v>
      </c>
      <c r="E453" s="1163">
        <f t="shared" si="95"/>
        <v>0</v>
      </c>
      <c r="F453" s="1177">
        <f t="shared" si="90"/>
        <v>7</v>
      </c>
      <c r="G453" s="1177">
        <f t="shared" si="91"/>
        <v>7</v>
      </c>
      <c r="H453" s="1177">
        <f t="shared" si="84"/>
        <v>0</v>
      </c>
      <c r="I453" s="1158">
        <v>0</v>
      </c>
      <c r="J453" s="1158">
        <v>0</v>
      </c>
      <c r="K453" s="1177"/>
      <c r="L453" s="1177"/>
      <c r="M453" s="1177">
        <f t="shared" si="85"/>
        <v>0</v>
      </c>
      <c r="N453" s="1177">
        <f t="shared" si="86"/>
        <v>0</v>
      </c>
    </row>
    <row r="454" spans="1:14" ht="15.5" outlineLevel="1" x14ac:dyDescent="0.25">
      <c r="A454" s="1168">
        <f t="shared" si="95"/>
        <v>0</v>
      </c>
      <c r="B454" s="1150" t="str">
        <f t="shared" si="95"/>
        <v>DPR 3 (CIVIL)</v>
      </c>
      <c r="C454" s="1162">
        <f t="shared" si="95"/>
        <v>0</v>
      </c>
      <c r="D454" s="1081" t="str">
        <f t="shared" si="95"/>
        <v>-</v>
      </c>
      <c r="E454" s="1163">
        <f t="shared" si="95"/>
        <v>0</v>
      </c>
      <c r="F454" s="1177">
        <f t="shared" si="90"/>
        <v>0</v>
      </c>
      <c r="G454" s="1177">
        <f t="shared" si="91"/>
        <v>0</v>
      </c>
      <c r="H454" s="1177">
        <f t="shared" si="84"/>
        <v>0</v>
      </c>
      <c r="I454" s="1158">
        <v>0</v>
      </c>
      <c r="J454" s="1158">
        <v>0</v>
      </c>
      <c r="K454" s="1177"/>
      <c r="L454" s="1177"/>
      <c r="M454" s="1177">
        <f t="shared" si="85"/>
        <v>0</v>
      </c>
      <c r="N454" s="1177">
        <f t="shared" si="86"/>
        <v>0</v>
      </c>
    </row>
    <row r="455" spans="1:14" ht="31" outlineLevel="1" x14ac:dyDescent="0.25">
      <c r="A455" s="1011">
        <f t="shared" si="95"/>
        <v>1</v>
      </c>
      <c r="B455" s="1169" t="str">
        <f t="shared" si="95"/>
        <v>Fortification and Rock fall protection Measures in Vaitarna Hydro Electric Power Project  Premises ,Tal- Igatpuri , Dist-Nashik.</v>
      </c>
      <c r="C455" s="1162">
        <f t="shared" si="95"/>
        <v>0</v>
      </c>
      <c r="D455" s="1081" t="str">
        <f t="shared" si="95"/>
        <v>-</v>
      </c>
      <c r="E455" s="1163">
        <f t="shared" si="95"/>
        <v>0</v>
      </c>
      <c r="F455" s="1177">
        <f t="shared" si="90"/>
        <v>36.53</v>
      </c>
      <c r="G455" s="1177">
        <f t="shared" si="91"/>
        <v>36.53</v>
      </c>
      <c r="H455" s="1177">
        <f t="shared" si="84"/>
        <v>0</v>
      </c>
      <c r="I455" s="1158">
        <v>0</v>
      </c>
      <c r="J455" s="1158">
        <v>0</v>
      </c>
      <c r="K455" s="1177"/>
      <c r="L455" s="1177"/>
      <c r="M455" s="1177">
        <f t="shared" si="85"/>
        <v>0</v>
      </c>
      <c r="N455" s="1177">
        <f t="shared" si="86"/>
        <v>0</v>
      </c>
    </row>
    <row r="456" spans="1:14" ht="31" outlineLevel="1" x14ac:dyDescent="0.25">
      <c r="A456" s="1011">
        <f t="shared" si="95"/>
        <v>2</v>
      </c>
      <c r="B456" s="1169" t="str">
        <f t="shared" si="95"/>
        <v>Work of construction of Bituminous approach road to Portal Switchyard at Vaitarna HPS.</v>
      </c>
      <c r="C456" s="1162">
        <f t="shared" si="95"/>
        <v>0</v>
      </c>
      <c r="D456" s="1081" t="str">
        <f t="shared" si="95"/>
        <v>-</v>
      </c>
      <c r="E456" s="1163">
        <f t="shared" si="95"/>
        <v>0</v>
      </c>
      <c r="F456" s="1177">
        <f t="shared" si="90"/>
        <v>2.77</v>
      </c>
      <c r="G456" s="1177">
        <f t="shared" si="91"/>
        <v>2.77</v>
      </c>
      <c r="H456" s="1177">
        <f t="shared" si="84"/>
        <v>0</v>
      </c>
      <c r="I456" s="1158">
        <v>0</v>
      </c>
      <c r="J456" s="1158">
        <v>0</v>
      </c>
      <c r="K456" s="1177"/>
      <c r="L456" s="1177"/>
      <c r="M456" s="1177">
        <f t="shared" si="85"/>
        <v>0</v>
      </c>
      <c r="N456" s="1177">
        <f t="shared" si="86"/>
        <v>0</v>
      </c>
    </row>
    <row r="457" spans="1:14" ht="31" outlineLevel="1" x14ac:dyDescent="0.25">
      <c r="A457" s="1011">
        <f t="shared" si="95"/>
        <v>3</v>
      </c>
      <c r="B457" s="1169" t="str">
        <f t="shared" si="95"/>
        <v>Work of construction of Gabion wall structure on down stream of nallah near Tunnel  at Vaitarna HPS.</v>
      </c>
      <c r="C457" s="1162">
        <f t="shared" si="95"/>
        <v>0</v>
      </c>
      <c r="D457" s="1081" t="str">
        <f t="shared" si="95"/>
        <v>-</v>
      </c>
      <c r="E457" s="1163">
        <f t="shared" si="95"/>
        <v>0</v>
      </c>
      <c r="F457" s="1177">
        <f t="shared" si="90"/>
        <v>0.26</v>
      </c>
      <c r="G457" s="1177">
        <f t="shared" si="91"/>
        <v>0.26</v>
      </c>
      <c r="H457" s="1177">
        <f t="shared" si="84"/>
        <v>0</v>
      </c>
      <c r="I457" s="1158">
        <v>0</v>
      </c>
      <c r="J457" s="1158">
        <v>0</v>
      </c>
      <c r="K457" s="1177"/>
      <c r="L457" s="1177"/>
      <c r="M457" s="1177">
        <f t="shared" si="85"/>
        <v>0</v>
      </c>
      <c r="N457" s="1177">
        <f t="shared" si="86"/>
        <v>0</v>
      </c>
    </row>
    <row r="458" spans="1:14" ht="15.5" outlineLevel="1" x14ac:dyDescent="0.25">
      <c r="A458" s="1171">
        <f t="shared" si="95"/>
        <v>0</v>
      </c>
      <c r="B458" s="1150" t="str">
        <f t="shared" si="95"/>
        <v>(ii) Yet to be submitted to MERC(F Y 2026-27)</v>
      </c>
      <c r="C458" s="1162">
        <f t="shared" si="95"/>
        <v>0</v>
      </c>
      <c r="D458" s="1081" t="str">
        <f t="shared" si="95"/>
        <v>-</v>
      </c>
      <c r="E458" s="1163">
        <f t="shared" si="95"/>
        <v>0</v>
      </c>
      <c r="F458" s="1177">
        <f t="shared" si="90"/>
        <v>0</v>
      </c>
      <c r="G458" s="1177">
        <f t="shared" si="91"/>
        <v>0</v>
      </c>
      <c r="H458" s="1177">
        <f t="shared" si="84"/>
        <v>0</v>
      </c>
      <c r="I458" s="1158">
        <v>0</v>
      </c>
      <c r="J458" s="1158">
        <v>0</v>
      </c>
      <c r="K458" s="1177"/>
      <c r="L458" s="1177"/>
      <c r="M458" s="1177">
        <f t="shared" si="85"/>
        <v>0</v>
      </c>
      <c r="N458" s="1177">
        <f t="shared" si="86"/>
        <v>0</v>
      </c>
    </row>
    <row r="459" spans="1:14" ht="15.5" outlineLevel="1" x14ac:dyDescent="0.25">
      <c r="A459" s="1168">
        <f t="shared" ref="A459:E474" si="96">A361</f>
        <v>0</v>
      </c>
      <c r="B459" s="1150" t="str">
        <f t="shared" si="96"/>
        <v>DPR 4</v>
      </c>
      <c r="C459" s="1162">
        <f t="shared" si="96"/>
        <v>0</v>
      </c>
      <c r="D459" s="1081" t="str">
        <f t="shared" si="96"/>
        <v>-</v>
      </c>
      <c r="E459" s="1163">
        <f t="shared" si="96"/>
        <v>0</v>
      </c>
      <c r="F459" s="1177">
        <f t="shared" si="90"/>
        <v>0</v>
      </c>
      <c r="G459" s="1177">
        <f t="shared" si="91"/>
        <v>0</v>
      </c>
      <c r="H459" s="1177">
        <f t="shared" si="84"/>
        <v>0</v>
      </c>
      <c r="I459" s="1158">
        <v>0</v>
      </c>
      <c r="J459" s="1158">
        <v>0</v>
      </c>
      <c r="K459" s="1177"/>
      <c r="L459" s="1177"/>
      <c r="M459" s="1177">
        <f t="shared" si="85"/>
        <v>0</v>
      </c>
      <c r="N459" s="1177">
        <f t="shared" si="86"/>
        <v>0</v>
      </c>
    </row>
    <row r="460" spans="1:14" ht="62" outlineLevel="1" x14ac:dyDescent="0.25">
      <c r="A460" s="1011">
        <f t="shared" si="96"/>
        <v>1</v>
      </c>
      <c r="B460" s="1169" t="str">
        <f t="shared" si="96"/>
        <v xml:space="preserve">Comprehensive work of redesign,manufacture, supply erection, testing &amp; commissioning of Digital Governing, Protection  and control system Consisting of SCADA on single point responsibility at 60 MW Vaitarna HPS.                                                                 </v>
      </c>
      <c r="C460" s="1162">
        <f t="shared" si="96"/>
        <v>0</v>
      </c>
      <c r="D460" s="1081" t="str">
        <f t="shared" si="96"/>
        <v>-</v>
      </c>
      <c r="E460" s="1163">
        <f t="shared" si="96"/>
        <v>0</v>
      </c>
      <c r="F460" s="1177">
        <f t="shared" si="90"/>
        <v>0</v>
      </c>
      <c r="G460" s="1177">
        <f t="shared" si="91"/>
        <v>0</v>
      </c>
      <c r="H460" s="1177">
        <f t="shared" si="84"/>
        <v>0</v>
      </c>
      <c r="I460" s="1158">
        <v>14</v>
      </c>
      <c r="J460" s="1158">
        <v>14</v>
      </c>
      <c r="K460" s="1177"/>
      <c r="L460" s="1177"/>
      <c r="M460" s="1177">
        <f t="shared" si="85"/>
        <v>14</v>
      </c>
      <c r="N460" s="1177">
        <f t="shared" si="86"/>
        <v>0</v>
      </c>
    </row>
    <row r="461" spans="1:14" ht="46.5" outlineLevel="1" x14ac:dyDescent="0.25">
      <c r="A461" s="1011">
        <f t="shared" si="96"/>
        <v>2</v>
      </c>
      <c r="B461" s="1169" t="str">
        <f t="shared" si="96"/>
        <v xml:space="preserve">Comprehensive work of Replacement, Modification,upgradation of cooling water system along with replacement of pipeline,pumps,panel etc at 60 MW Vaitarna HPS.                                           </v>
      </c>
      <c r="C461" s="1162">
        <f t="shared" si="96"/>
        <v>0</v>
      </c>
      <c r="D461" s="1081" t="str">
        <f t="shared" si="96"/>
        <v>-</v>
      </c>
      <c r="E461" s="1163">
        <f t="shared" si="96"/>
        <v>0</v>
      </c>
      <c r="F461" s="1177">
        <f t="shared" si="90"/>
        <v>0</v>
      </c>
      <c r="G461" s="1177">
        <f t="shared" si="91"/>
        <v>0</v>
      </c>
      <c r="H461" s="1177">
        <f t="shared" si="84"/>
        <v>0</v>
      </c>
      <c r="I461" s="1158">
        <v>2.5</v>
      </c>
      <c r="J461" s="1158">
        <v>2.5</v>
      </c>
      <c r="K461" s="1177"/>
      <c r="L461" s="1177"/>
      <c r="M461" s="1177">
        <f t="shared" si="85"/>
        <v>2.5</v>
      </c>
      <c r="N461" s="1177">
        <f t="shared" si="86"/>
        <v>0</v>
      </c>
    </row>
    <row r="462" spans="1:14" ht="31" outlineLevel="1" x14ac:dyDescent="0.25">
      <c r="A462" s="1011">
        <f t="shared" si="96"/>
        <v>3</v>
      </c>
      <c r="B462" s="1169" t="str">
        <f t="shared" si="96"/>
        <v xml:space="preserve"> Design, Manufacture, Supply, Erection, Testing and commissioning of 1000 KVA UAT &amp; EAT at 60MW Vaitarna HPS.                                                                  </v>
      </c>
      <c r="C462" s="1162">
        <f t="shared" si="96"/>
        <v>0</v>
      </c>
      <c r="D462" s="1081" t="str">
        <f t="shared" si="96"/>
        <v>-</v>
      </c>
      <c r="E462" s="1163">
        <f t="shared" si="96"/>
        <v>0</v>
      </c>
      <c r="F462" s="1177">
        <f t="shared" si="90"/>
        <v>0</v>
      </c>
      <c r="G462" s="1177">
        <f t="shared" si="91"/>
        <v>0</v>
      </c>
      <c r="H462" s="1177">
        <f t="shared" si="84"/>
        <v>0</v>
      </c>
      <c r="I462" s="1158">
        <v>0.6</v>
      </c>
      <c r="J462" s="1158">
        <v>0.6</v>
      </c>
      <c r="K462" s="1177"/>
      <c r="L462" s="1177"/>
      <c r="M462" s="1177">
        <f t="shared" si="85"/>
        <v>0.6</v>
      </c>
      <c r="N462" s="1177">
        <f t="shared" si="86"/>
        <v>0</v>
      </c>
    </row>
    <row r="463" spans="1:14" ht="31" outlineLevel="1" x14ac:dyDescent="0.25">
      <c r="A463" s="1011">
        <f t="shared" si="96"/>
        <v>4</v>
      </c>
      <c r="B463" s="1169" t="str">
        <f t="shared" si="96"/>
        <v xml:space="preserve">Supply, Erection, Testing &amp; Commissioning of 500 KVA DG set along with cable and changeover system at 60 MW Vaitarna HPS                                          </v>
      </c>
      <c r="C463" s="1162">
        <f t="shared" si="96"/>
        <v>0</v>
      </c>
      <c r="D463" s="1081" t="str">
        <f t="shared" si="96"/>
        <v>-</v>
      </c>
      <c r="E463" s="1163">
        <f t="shared" si="96"/>
        <v>0</v>
      </c>
      <c r="F463" s="1177">
        <f t="shared" si="90"/>
        <v>0</v>
      </c>
      <c r="G463" s="1177">
        <f t="shared" si="91"/>
        <v>0</v>
      </c>
      <c r="H463" s="1177">
        <f t="shared" si="84"/>
        <v>0</v>
      </c>
      <c r="I463" s="1158">
        <v>0.6</v>
      </c>
      <c r="J463" s="1158">
        <v>0.6</v>
      </c>
      <c r="K463" s="1177"/>
      <c r="L463" s="1177"/>
      <c r="M463" s="1177">
        <f t="shared" si="85"/>
        <v>0.6</v>
      </c>
      <c r="N463" s="1177">
        <f t="shared" si="86"/>
        <v>0</v>
      </c>
    </row>
    <row r="464" spans="1:14" ht="77.5" outlineLevel="1" x14ac:dyDescent="0.25">
      <c r="A464" s="1011">
        <f t="shared" si="96"/>
        <v>5</v>
      </c>
      <c r="B464" s="1169" t="str">
        <f t="shared" si="96"/>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464" s="1162">
        <f t="shared" si="96"/>
        <v>0</v>
      </c>
      <c r="D464" s="1081" t="str">
        <f t="shared" si="96"/>
        <v>-</v>
      </c>
      <c r="E464" s="1163">
        <f t="shared" si="96"/>
        <v>0</v>
      </c>
      <c r="F464" s="1177">
        <f t="shared" si="90"/>
        <v>0</v>
      </c>
      <c r="G464" s="1177">
        <f t="shared" si="91"/>
        <v>0</v>
      </c>
      <c r="H464" s="1177">
        <f t="shared" si="84"/>
        <v>0</v>
      </c>
      <c r="I464" s="1158">
        <v>11</v>
      </c>
      <c r="J464" s="1158">
        <v>11</v>
      </c>
      <c r="K464" s="1177"/>
      <c r="L464" s="1177"/>
      <c r="M464" s="1177">
        <f t="shared" si="85"/>
        <v>11</v>
      </c>
      <c r="N464" s="1177">
        <f t="shared" si="86"/>
        <v>0</v>
      </c>
    </row>
    <row r="465" spans="1:14" ht="15.5" outlineLevel="1" x14ac:dyDescent="0.25">
      <c r="A465" s="1011">
        <f t="shared" si="96"/>
        <v>0</v>
      </c>
      <c r="B465" s="1150" t="str">
        <f t="shared" si="96"/>
        <v>DPR 5</v>
      </c>
      <c r="C465" s="1162">
        <f t="shared" si="96"/>
        <v>0</v>
      </c>
      <c r="D465" s="1081" t="str">
        <f t="shared" si="96"/>
        <v>-</v>
      </c>
      <c r="E465" s="1163">
        <f t="shared" si="96"/>
        <v>0</v>
      </c>
      <c r="F465" s="1177">
        <f t="shared" si="90"/>
        <v>0</v>
      </c>
      <c r="G465" s="1177">
        <f t="shared" si="91"/>
        <v>0</v>
      </c>
      <c r="H465" s="1177">
        <f t="shared" si="84"/>
        <v>0</v>
      </c>
      <c r="I465" s="1158">
        <v>0</v>
      </c>
      <c r="J465" s="1158">
        <v>0</v>
      </c>
      <c r="K465" s="1177"/>
      <c r="L465" s="1177"/>
      <c r="M465" s="1177">
        <f t="shared" si="85"/>
        <v>0</v>
      </c>
      <c r="N465" s="1177">
        <f t="shared" si="86"/>
        <v>0</v>
      </c>
    </row>
    <row r="466" spans="1:14" ht="15.5" outlineLevel="1" x14ac:dyDescent="0.25">
      <c r="A466" s="1011">
        <f t="shared" si="96"/>
        <v>1</v>
      </c>
      <c r="B466" s="1169" t="str">
        <f t="shared" si="96"/>
        <v xml:space="preserve">Upgradation of Insulation class Yeldari HPS                                                       </v>
      </c>
      <c r="C466" s="1162">
        <f t="shared" si="96"/>
        <v>0</v>
      </c>
      <c r="D466" s="1081" t="str">
        <f t="shared" si="96"/>
        <v>-</v>
      </c>
      <c r="E466" s="1163">
        <f t="shared" si="96"/>
        <v>0</v>
      </c>
      <c r="F466" s="1177">
        <f t="shared" si="90"/>
        <v>0</v>
      </c>
      <c r="G466" s="1177">
        <f t="shared" si="91"/>
        <v>0</v>
      </c>
      <c r="H466" s="1177">
        <f t="shared" si="84"/>
        <v>0</v>
      </c>
      <c r="I466" s="1158">
        <v>6</v>
      </c>
      <c r="J466" s="1158">
        <v>6</v>
      </c>
      <c r="K466" s="1177"/>
      <c r="L466" s="1177"/>
      <c r="M466" s="1177">
        <f t="shared" si="85"/>
        <v>6</v>
      </c>
      <c r="N466" s="1177">
        <f t="shared" si="86"/>
        <v>0</v>
      </c>
    </row>
    <row r="467" spans="1:14" ht="77.5" outlineLevel="1" x14ac:dyDescent="0.25">
      <c r="A467" s="1011">
        <f t="shared" si="96"/>
        <v>2</v>
      </c>
      <c r="B467" s="1169" t="str">
        <f t="shared" si="96"/>
        <v xml:space="preserve">Design,Supply ,testing ,erection and commissioing of  with modification of HT power circuit from 66KV to 132 KV by providing 03 Nos GT of 6.6/132 KV capcity 10 MVA with allied compatible aux. equipments  &amp; 01 Aux X`mer  2MVA of 132/11 KV at Yeldari HPS                                                         </v>
      </c>
      <c r="C467" s="1162">
        <f t="shared" si="96"/>
        <v>0</v>
      </c>
      <c r="D467" s="1081" t="str">
        <f t="shared" si="96"/>
        <v>-</v>
      </c>
      <c r="E467" s="1163">
        <f t="shared" si="96"/>
        <v>0</v>
      </c>
      <c r="F467" s="1177">
        <f t="shared" si="90"/>
        <v>0</v>
      </c>
      <c r="G467" s="1177">
        <f t="shared" si="91"/>
        <v>0</v>
      </c>
      <c r="H467" s="1177">
        <f t="shared" si="84"/>
        <v>0</v>
      </c>
      <c r="I467" s="1158">
        <v>10.199999999999999</v>
      </c>
      <c r="J467" s="1158">
        <v>10.199999999999999</v>
      </c>
      <c r="K467" s="1177"/>
      <c r="L467" s="1177"/>
      <c r="M467" s="1177">
        <f t="shared" si="85"/>
        <v>10.199999999999999</v>
      </c>
      <c r="N467" s="1177">
        <f t="shared" si="86"/>
        <v>0</v>
      </c>
    </row>
    <row r="468" spans="1:14" ht="46.5" outlineLevel="1" x14ac:dyDescent="0.25">
      <c r="A468" s="1011">
        <f t="shared" si="96"/>
        <v>3</v>
      </c>
      <c r="B468" s="1169" t="str">
        <f t="shared" si="96"/>
        <v xml:space="preserve">Design,supply ,testing ,erection and commissioing of Automated Co2 fire extinguishers system including supply of Co2 cylinder banks,detectors accessories and associated work at Yeldari HPS                                          </v>
      </c>
      <c r="C468" s="1162">
        <f t="shared" si="96"/>
        <v>0</v>
      </c>
      <c r="D468" s="1081" t="str">
        <f t="shared" si="96"/>
        <v>-</v>
      </c>
      <c r="E468" s="1163">
        <f t="shared" si="96"/>
        <v>0</v>
      </c>
      <c r="F468" s="1177">
        <f t="shared" si="90"/>
        <v>0</v>
      </c>
      <c r="G468" s="1177">
        <f t="shared" si="91"/>
        <v>0</v>
      </c>
      <c r="H468" s="1177">
        <f t="shared" si="84"/>
        <v>0</v>
      </c>
      <c r="I468" s="1158">
        <v>0.6</v>
      </c>
      <c r="J468" s="1158">
        <v>0.6</v>
      </c>
      <c r="K468" s="1177"/>
      <c r="L468" s="1177"/>
      <c r="M468" s="1177">
        <f t="shared" si="85"/>
        <v>0.6</v>
      </c>
      <c r="N468" s="1177">
        <f t="shared" si="86"/>
        <v>0</v>
      </c>
    </row>
    <row r="469" spans="1:14" ht="46.5" outlineLevel="1" x14ac:dyDescent="0.25">
      <c r="A469" s="1011">
        <f t="shared" si="96"/>
        <v>4</v>
      </c>
      <c r="B469" s="1169" t="str">
        <f t="shared" si="96"/>
        <v xml:space="preserve"> Design,supply ,testing ,erection and commissioing of UAT capacity 250 KVA ration 6.6KV/415V with ACDB, DCDB , auto change over system                                </v>
      </c>
      <c r="C469" s="1162">
        <f t="shared" si="96"/>
        <v>0</v>
      </c>
      <c r="D469" s="1081" t="str">
        <f t="shared" si="96"/>
        <v>-</v>
      </c>
      <c r="E469" s="1163">
        <f t="shared" si="96"/>
        <v>0</v>
      </c>
      <c r="F469" s="1177">
        <f t="shared" si="90"/>
        <v>0</v>
      </c>
      <c r="G469" s="1177">
        <f t="shared" si="91"/>
        <v>0</v>
      </c>
      <c r="H469" s="1177">
        <f t="shared" si="84"/>
        <v>0</v>
      </c>
      <c r="I469" s="1158">
        <v>3</v>
      </c>
      <c r="J469" s="1158">
        <v>3</v>
      </c>
      <c r="K469" s="1177"/>
      <c r="L469" s="1177"/>
      <c r="M469" s="1177">
        <f t="shared" si="85"/>
        <v>3</v>
      </c>
      <c r="N469" s="1177">
        <f t="shared" si="86"/>
        <v>0</v>
      </c>
    </row>
    <row r="470" spans="1:14" ht="31" outlineLevel="1" x14ac:dyDescent="0.25">
      <c r="A470" s="1011">
        <f t="shared" si="96"/>
        <v>5</v>
      </c>
      <c r="B470" s="1169" t="str">
        <f t="shared" si="96"/>
        <v xml:space="preserve">Design,supply ,testing ,erection and commissioing of  Power cables for GT and control cables at Yeldari HPS                                            </v>
      </c>
      <c r="C470" s="1162">
        <f t="shared" si="96"/>
        <v>0</v>
      </c>
      <c r="D470" s="1081" t="str">
        <f t="shared" si="96"/>
        <v>-</v>
      </c>
      <c r="E470" s="1163">
        <f t="shared" si="96"/>
        <v>0</v>
      </c>
      <c r="F470" s="1177">
        <f t="shared" si="90"/>
        <v>0</v>
      </c>
      <c r="G470" s="1177">
        <f t="shared" si="91"/>
        <v>0</v>
      </c>
      <c r="H470" s="1177">
        <f t="shared" si="84"/>
        <v>0</v>
      </c>
      <c r="I470" s="1158">
        <v>3.75</v>
      </c>
      <c r="J470" s="1158">
        <v>3.75</v>
      </c>
      <c r="K470" s="1177"/>
      <c r="L470" s="1177"/>
      <c r="M470" s="1177">
        <f t="shared" si="85"/>
        <v>3.75</v>
      </c>
      <c r="N470" s="1177">
        <f t="shared" si="86"/>
        <v>0</v>
      </c>
    </row>
    <row r="471" spans="1:14" ht="31" outlineLevel="1" x14ac:dyDescent="0.25">
      <c r="A471" s="1011">
        <f t="shared" si="96"/>
        <v>6</v>
      </c>
      <c r="B471" s="1169" t="str">
        <f t="shared" si="96"/>
        <v xml:space="preserve">Design,supply ,testing ,erection and commissioing of  Power cables for GT and control cables at Yeldari HPS                                              </v>
      </c>
      <c r="C471" s="1162">
        <f t="shared" si="96"/>
        <v>0</v>
      </c>
      <c r="D471" s="1081" t="str">
        <f t="shared" si="96"/>
        <v>-</v>
      </c>
      <c r="E471" s="1163">
        <f t="shared" si="96"/>
        <v>0</v>
      </c>
      <c r="F471" s="1177">
        <f t="shared" si="90"/>
        <v>0</v>
      </c>
      <c r="G471" s="1177">
        <f t="shared" si="91"/>
        <v>0</v>
      </c>
      <c r="H471" s="1177">
        <f t="shared" si="84"/>
        <v>0</v>
      </c>
      <c r="I471" s="1158">
        <v>1.5</v>
      </c>
      <c r="J471" s="1158">
        <v>1.5</v>
      </c>
      <c r="K471" s="1177"/>
      <c r="L471" s="1177"/>
      <c r="M471" s="1177">
        <f t="shared" si="85"/>
        <v>1.5</v>
      </c>
      <c r="N471" s="1177">
        <f t="shared" si="86"/>
        <v>0</v>
      </c>
    </row>
    <row r="472" spans="1:14" ht="15.5" outlineLevel="1" x14ac:dyDescent="0.25">
      <c r="A472" s="1168">
        <f t="shared" si="96"/>
        <v>0</v>
      </c>
      <c r="B472" s="1172" t="str">
        <f t="shared" si="96"/>
        <v>DPR 6(CIVIL)</v>
      </c>
      <c r="C472" s="1162">
        <f t="shared" si="96"/>
        <v>0</v>
      </c>
      <c r="D472" s="1081" t="str">
        <f t="shared" si="96"/>
        <v>-</v>
      </c>
      <c r="E472" s="1163">
        <f t="shared" si="96"/>
        <v>0</v>
      </c>
      <c r="F472" s="1177">
        <f t="shared" si="90"/>
        <v>0</v>
      </c>
      <c r="G472" s="1177">
        <f t="shared" si="91"/>
        <v>0</v>
      </c>
      <c r="H472" s="1177">
        <f t="shared" si="84"/>
        <v>0</v>
      </c>
      <c r="I472" s="1158">
        <v>0</v>
      </c>
      <c r="J472" s="1158">
        <v>0</v>
      </c>
      <c r="K472" s="1177"/>
      <c r="L472" s="1177"/>
      <c r="M472" s="1177">
        <f t="shared" si="85"/>
        <v>0</v>
      </c>
      <c r="N472" s="1177">
        <f t="shared" si="86"/>
        <v>0</v>
      </c>
    </row>
    <row r="473" spans="1:14" ht="15.5" outlineLevel="1" x14ac:dyDescent="0.25">
      <c r="A473" s="1011">
        <f t="shared" si="96"/>
        <v>1</v>
      </c>
      <c r="B473" s="1169" t="str">
        <f t="shared" si="96"/>
        <v>Package shade roof change at Ghatghar HPS</v>
      </c>
      <c r="C473" s="1162">
        <f t="shared" si="96"/>
        <v>0</v>
      </c>
      <c r="D473" s="1081" t="str">
        <f t="shared" si="96"/>
        <v>-</v>
      </c>
      <c r="E473" s="1163">
        <f t="shared" si="96"/>
        <v>0</v>
      </c>
      <c r="F473" s="1177">
        <f t="shared" si="90"/>
        <v>0</v>
      </c>
      <c r="G473" s="1177">
        <f t="shared" si="91"/>
        <v>0</v>
      </c>
      <c r="H473" s="1177">
        <f t="shared" si="84"/>
        <v>0</v>
      </c>
      <c r="I473" s="1158">
        <v>2</v>
      </c>
      <c r="J473" s="1158">
        <v>2</v>
      </c>
      <c r="K473" s="1177"/>
      <c r="L473" s="1177"/>
      <c r="M473" s="1177">
        <f t="shared" si="85"/>
        <v>2</v>
      </c>
      <c r="N473" s="1177">
        <f t="shared" si="86"/>
        <v>0</v>
      </c>
    </row>
    <row r="474" spans="1:14" ht="15.5" outlineLevel="1" x14ac:dyDescent="0.25">
      <c r="A474" s="1011">
        <f t="shared" si="96"/>
        <v>2</v>
      </c>
      <c r="B474" s="1169" t="str">
        <f t="shared" si="96"/>
        <v>PROCUREMENT OF MOBILE RACKS FOR STORES atGhatghar HPS</v>
      </c>
      <c r="C474" s="1162">
        <f t="shared" si="96"/>
        <v>0</v>
      </c>
      <c r="D474" s="1081" t="str">
        <f t="shared" si="96"/>
        <v>-</v>
      </c>
      <c r="E474" s="1163">
        <f t="shared" si="96"/>
        <v>0</v>
      </c>
      <c r="F474" s="1177">
        <f t="shared" si="90"/>
        <v>0</v>
      </c>
      <c r="G474" s="1177">
        <f t="shared" si="91"/>
        <v>0</v>
      </c>
      <c r="H474" s="1177">
        <f t="shared" si="84"/>
        <v>0</v>
      </c>
      <c r="I474" s="1158">
        <v>0.25</v>
      </c>
      <c r="J474" s="1158">
        <v>0.25</v>
      </c>
      <c r="K474" s="1177"/>
      <c r="L474" s="1177"/>
      <c r="M474" s="1177">
        <f t="shared" si="85"/>
        <v>0.25</v>
      </c>
      <c r="N474" s="1177">
        <f t="shared" si="86"/>
        <v>0</v>
      </c>
    </row>
    <row r="475" spans="1:14" ht="31" outlineLevel="1" x14ac:dyDescent="0.25">
      <c r="A475" s="1011">
        <f t="shared" ref="A475:E490" si="97">A377</f>
        <v>3</v>
      </c>
      <c r="B475" s="1169" t="str">
        <f t="shared" si="97"/>
        <v>Wall compound Rising of height and Wire fence on wall at package shade  at Ghatghar HPS</v>
      </c>
      <c r="C475" s="1162">
        <f t="shared" si="97"/>
        <v>0</v>
      </c>
      <c r="D475" s="1081" t="str">
        <f t="shared" si="97"/>
        <v>-</v>
      </c>
      <c r="E475" s="1163">
        <f t="shared" si="97"/>
        <v>0</v>
      </c>
      <c r="F475" s="1177">
        <f t="shared" ref="F475:F489" si="98">F377+I377</f>
        <v>0</v>
      </c>
      <c r="G475" s="1177">
        <f t="shared" ref="G475:G489" si="99">G377+M377</f>
        <v>0</v>
      </c>
      <c r="H475" s="1177">
        <f t="shared" si="84"/>
        <v>0</v>
      </c>
      <c r="I475" s="1158">
        <v>1.5</v>
      </c>
      <c r="J475" s="1158">
        <v>1.5</v>
      </c>
      <c r="K475" s="1177"/>
      <c r="L475" s="1177"/>
      <c r="M475" s="1177">
        <f t="shared" si="85"/>
        <v>1.5</v>
      </c>
      <c r="N475" s="1177">
        <f t="shared" si="86"/>
        <v>0</v>
      </c>
    </row>
    <row r="476" spans="1:14" ht="15.5" outlineLevel="1" x14ac:dyDescent="0.25">
      <c r="A476" s="1011">
        <f t="shared" si="97"/>
        <v>4</v>
      </c>
      <c r="B476" s="1169" t="str">
        <f t="shared" si="97"/>
        <v>Wall compound colony UCR at Ghatghar HPS</v>
      </c>
      <c r="C476" s="1162">
        <f t="shared" si="97"/>
        <v>0</v>
      </c>
      <c r="D476" s="1081" t="str">
        <f t="shared" si="97"/>
        <v>-</v>
      </c>
      <c r="E476" s="1163">
        <f t="shared" si="97"/>
        <v>0</v>
      </c>
      <c r="F476" s="1177">
        <f t="shared" si="98"/>
        <v>0</v>
      </c>
      <c r="G476" s="1177">
        <f t="shared" si="99"/>
        <v>0</v>
      </c>
      <c r="H476" s="1177">
        <f t="shared" si="84"/>
        <v>0</v>
      </c>
      <c r="I476" s="1158">
        <v>1.5</v>
      </c>
      <c r="J476" s="1158">
        <v>1.5</v>
      </c>
      <c r="K476" s="1177"/>
      <c r="L476" s="1177"/>
      <c r="M476" s="1177">
        <f t="shared" si="85"/>
        <v>1.5</v>
      </c>
      <c r="N476" s="1177">
        <f t="shared" si="86"/>
        <v>0</v>
      </c>
    </row>
    <row r="477" spans="1:14" ht="15.5" outlineLevel="1" x14ac:dyDescent="0.25">
      <c r="A477" s="1011">
        <f t="shared" si="97"/>
        <v>5</v>
      </c>
      <c r="B477" s="1169" t="str">
        <f t="shared" si="97"/>
        <v>Colony and office Road asphalting at Ghatghar HPS</v>
      </c>
      <c r="C477" s="1162">
        <f t="shared" si="97"/>
        <v>0</v>
      </c>
      <c r="D477" s="1081" t="str">
        <f t="shared" si="97"/>
        <v>-</v>
      </c>
      <c r="E477" s="1163">
        <f t="shared" si="97"/>
        <v>0</v>
      </c>
      <c r="F477" s="1177">
        <f t="shared" si="98"/>
        <v>0</v>
      </c>
      <c r="G477" s="1177">
        <f t="shared" si="99"/>
        <v>0</v>
      </c>
      <c r="H477" s="1177">
        <f t="shared" si="84"/>
        <v>0</v>
      </c>
      <c r="I477" s="1158">
        <v>2</v>
      </c>
      <c r="J477" s="1158">
        <v>2</v>
      </c>
      <c r="K477" s="1177"/>
      <c r="L477" s="1177"/>
      <c r="M477" s="1177">
        <f t="shared" si="85"/>
        <v>2</v>
      </c>
      <c r="N477" s="1177">
        <f t="shared" si="86"/>
        <v>0</v>
      </c>
    </row>
    <row r="478" spans="1:14" ht="15.5" outlineLevel="1" x14ac:dyDescent="0.25">
      <c r="A478" s="1011">
        <f t="shared" si="97"/>
        <v>6</v>
      </c>
      <c r="B478" s="1169" t="str">
        <f t="shared" si="97"/>
        <v xml:space="preserve"> Road colony to power house at Ghatghar HPS</v>
      </c>
      <c r="C478" s="1162">
        <f t="shared" si="97"/>
        <v>0</v>
      </c>
      <c r="D478" s="1081" t="str">
        <f t="shared" si="97"/>
        <v>-</v>
      </c>
      <c r="E478" s="1163">
        <f t="shared" si="97"/>
        <v>0</v>
      </c>
      <c r="F478" s="1177">
        <f t="shared" si="98"/>
        <v>0</v>
      </c>
      <c r="G478" s="1177">
        <f t="shared" si="99"/>
        <v>0</v>
      </c>
      <c r="H478" s="1177">
        <f t="shared" si="84"/>
        <v>0</v>
      </c>
      <c r="I478" s="1158">
        <v>7</v>
      </c>
      <c r="J478" s="1158">
        <v>7</v>
      </c>
      <c r="K478" s="1177"/>
      <c r="L478" s="1177"/>
      <c r="M478" s="1177">
        <f t="shared" si="85"/>
        <v>7</v>
      </c>
      <c r="N478" s="1177">
        <f t="shared" si="86"/>
        <v>0</v>
      </c>
    </row>
    <row r="479" spans="1:14" ht="15.5" outlineLevel="1" x14ac:dyDescent="0.25">
      <c r="A479" s="1168">
        <f t="shared" si="97"/>
        <v>0</v>
      </c>
      <c r="B479" s="1013">
        <f t="shared" si="97"/>
        <v>0</v>
      </c>
      <c r="C479" s="1162">
        <f t="shared" si="97"/>
        <v>0</v>
      </c>
      <c r="D479" s="1081" t="str">
        <f t="shared" si="97"/>
        <v>-</v>
      </c>
      <c r="E479" s="1163">
        <f t="shared" si="97"/>
        <v>0</v>
      </c>
      <c r="F479" s="1177">
        <f t="shared" si="98"/>
        <v>0</v>
      </c>
      <c r="G479" s="1177">
        <f t="shared" si="99"/>
        <v>0</v>
      </c>
      <c r="H479" s="1177">
        <f t="shared" si="84"/>
        <v>0</v>
      </c>
      <c r="I479" s="1158">
        <v>0</v>
      </c>
      <c r="J479" s="1158">
        <v>0</v>
      </c>
      <c r="K479" s="1177"/>
      <c r="L479" s="1177"/>
      <c r="M479" s="1177">
        <f t="shared" si="85"/>
        <v>0</v>
      </c>
      <c r="N479" s="1177">
        <f t="shared" si="86"/>
        <v>0</v>
      </c>
    </row>
    <row r="480" spans="1:14" ht="15.5" outlineLevel="1" x14ac:dyDescent="0.25">
      <c r="A480" s="1168">
        <f t="shared" si="97"/>
        <v>0</v>
      </c>
      <c r="B480" s="1150" t="str">
        <f t="shared" si="97"/>
        <v>(ii) Yet to be submitted to MERC(F Y 2027-28)</v>
      </c>
      <c r="C480" s="1162">
        <f t="shared" si="97"/>
        <v>0</v>
      </c>
      <c r="D480" s="1081" t="str">
        <f t="shared" si="97"/>
        <v>-</v>
      </c>
      <c r="E480" s="1163">
        <f t="shared" si="97"/>
        <v>0</v>
      </c>
      <c r="F480" s="1177">
        <f t="shared" si="98"/>
        <v>0</v>
      </c>
      <c r="G480" s="1177">
        <f t="shared" si="99"/>
        <v>0</v>
      </c>
      <c r="H480" s="1177">
        <f t="shared" si="84"/>
        <v>0</v>
      </c>
      <c r="I480" s="1158">
        <v>0</v>
      </c>
      <c r="J480" s="1158">
        <v>0</v>
      </c>
      <c r="K480" s="1177"/>
      <c r="L480" s="1177"/>
      <c r="M480" s="1177">
        <f t="shared" si="85"/>
        <v>0</v>
      </c>
      <c r="N480" s="1177">
        <f t="shared" si="86"/>
        <v>0</v>
      </c>
    </row>
    <row r="481" spans="1:14" ht="15.5" outlineLevel="1" x14ac:dyDescent="0.25">
      <c r="A481" s="1168">
        <f t="shared" si="97"/>
        <v>0</v>
      </c>
      <c r="B481" s="1150" t="str">
        <f t="shared" si="97"/>
        <v>DPR 7</v>
      </c>
      <c r="C481" s="1162">
        <f t="shared" si="97"/>
        <v>0</v>
      </c>
      <c r="D481" s="1081" t="str">
        <f t="shared" si="97"/>
        <v>-</v>
      </c>
      <c r="E481" s="1163">
        <f t="shared" si="97"/>
        <v>0</v>
      </c>
      <c r="F481" s="1177">
        <f t="shared" si="98"/>
        <v>0</v>
      </c>
      <c r="G481" s="1177">
        <f t="shared" si="99"/>
        <v>0</v>
      </c>
      <c r="H481" s="1177">
        <f t="shared" si="84"/>
        <v>0</v>
      </c>
      <c r="I481" s="1158">
        <v>0</v>
      </c>
      <c r="J481" s="1158">
        <v>0</v>
      </c>
      <c r="K481" s="1177"/>
      <c r="L481" s="1177"/>
      <c r="M481" s="1177">
        <f t="shared" si="85"/>
        <v>0</v>
      </c>
      <c r="N481" s="1177">
        <f t="shared" si="86"/>
        <v>0</v>
      </c>
    </row>
    <row r="482" spans="1:14" ht="15.5" outlineLevel="1" x14ac:dyDescent="0.25">
      <c r="A482" s="1011">
        <f t="shared" si="97"/>
        <v>1</v>
      </c>
      <c r="B482" s="1169" t="str">
        <f t="shared" si="97"/>
        <v>UPGRADATION OF SFC &amp; DDC PANEL at Ghatghar HPS</v>
      </c>
      <c r="C482" s="1162">
        <f t="shared" si="97"/>
        <v>0</v>
      </c>
      <c r="D482" s="1081" t="str">
        <f t="shared" si="97"/>
        <v>-</v>
      </c>
      <c r="E482" s="1163">
        <f t="shared" si="97"/>
        <v>0</v>
      </c>
      <c r="F482" s="1177">
        <f t="shared" si="98"/>
        <v>0</v>
      </c>
      <c r="G482" s="1177">
        <f t="shared" si="99"/>
        <v>0</v>
      </c>
      <c r="H482" s="1177">
        <f t="shared" si="84"/>
        <v>0</v>
      </c>
      <c r="I482" s="1158">
        <v>0</v>
      </c>
      <c r="J482" s="1158">
        <v>0</v>
      </c>
      <c r="K482" s="1177"/>
      <c r="L482" s="1177"/>
      <c r="M482" s="1177">
        <f t="shared" si="85"/>
        <v>0</v>
      </c>
      <c r="N482" s="1177">
        <f t="shared" si="86"/>
        <v>0</v>
      </c>
    </row>
    <row r="483" spans="1:14" ht="15.5" outlineLevel="1" x14ac:dyDescent="0.25">
      <c r="A483" s="1011">
        <f t="shared" si="97"/>
        <v>2</v>
      </c>
      <c r="B483" s="1169" t="str">
        <f t="shared" si="97"/>
        <v>BATTERY CHARGER PROCUREMENT at Ghatghar HPS</v>
      </c>
      <c r="C483" s="1162">
        <f t="shared" si="97"/>
        <v>0</v>
      </c>
      <c r="D483" s="1081" t="str">
        <f t="shared" si="97"/>
        <v>-</v>
      </c>
      <c r="E483" s="1163">
        <f t="shared" si="97"/>
        <v>0</v>
      </c>
      <c r="F483" s="1177">
        <f t="shared" si="98"/>
        <v>0</v>
      </c>
      <c r="G483" s="1177">
        <f t="shared" si="99"/>
        <v>0</v>
      </c>
      <c r="H483" s="1177">
        <f t="shared" si="84"/>
        <v>0</v>
      </c>
      <c r="I483" s="1158">
        <v>0</v>
      </c>
      <c r="J483" s="1158">
        <v>0</v>
      </c>
      <c r="K483" s="1177"/>
      <c r="L483" s="1177"/>
      <c r="M483" s="1177">
        <f t="shared" si="85"/>
        <v>0</v>
      </c>
      <c r="N483" s="1177">
        <f t="shared" si="86"/>
        <v>0</v>
      </c>
    </row>
    <row r="484" spans="1:14" ht="15.5" outlineLevel="1" x14ac:dyDescent="0.25">
      <c r="A484" s="1011">
        <f t="shared" si="97"/>
        <v>3</v>
      </c>
      <c r="B484" s="1169" t="str">
        <f t="shared" si="97"/>
        <v xml:space="preserve"> PHASE REVERSAL SWITCH PROCUREMENT at Ghatghar HPS</v>
      </c>
      <c r="C484" s="1162">
        <f t="shared" si="97"/>
        <v>0</v>
      </c>
      <c r="D484" s="1081" t="str">
        <f t="shared" si="97"/>
        <v>-</v>
      </c>
      <c r="E484" s="1163">
        <f t="shared" si="97"/>
        <v>0</v>
      </c>
      <c r="F484" s="1177">
        <f t="shared" si="98"/>
        <v>0</v>
      </c>
      <c r="G484" s="1177">
        <f t="shared" si="99"/>
        <v>0</v>
      </c>
      <c r="H484" s="1177">
        <f t="shared" si="84"/>
        <v>0</v>
      </c>
      <c r="I484" s="1158">
        <v>0</v>
      </c>
      <c r="J484" s="1158">
        <v>0</v>
      </c>
      <c r="K484" s="1177"/>
      <c r="L484" s="1177"/>
      <c r="M484" s="1177">
        <f t="shared" si="85"/>
        <v>0</v>
      </c>
      <c r="N484" s="1177">
        <f t="shared" si="86"/>
        <v>0</v>
      </c>
    </row>
    <row r="485" spans="1:14" ht="15.5" outlineLevel="1" x14ac:dyDescent="0.25">
      <c r="A485" s="1011">
        <f t="shared" si="97"/>
        <v>4</v>
      </c>
      <c r="B485" s="1169" t="str">
        <f t="shared" si="97"/>
        <v xml:space="preserve"> PROCUREMENT OF SPARES FOR 220kV GIS at Ghatghar HPS</v>
      </c>
      <c r="C485" s="1162">
        <f t="shared" si="97"/>
        <v>0</v>
      </c>
      <c r="D485" s="1081" t="str">
        <f t="shared" si="97"/>
        <v>-</v>
      </c>
      <c r="E485" s="1163">
        <f t="shared" si="97"/>
        <v>0</v>
      </c>
      <c r="F485" s="1177">
        <f t="shared" si="98"/>
        <v>0</v>
      </c>
      <c r="G485" s="1177">
        <f t="shared" si="99"/>
        <v>0</v>
      </c>
      <c r="H485" s="1177">
        <f t="shared" si="84"/>
        <v>0</v>
      </c>
      <c r="I485" s="1158">
        <v>0</v>
      </c>
      <c r="J485" s="1158">
        <v>0</v>
      </c>
      <c r="K485" s="1177"/>
      <c r="L485" s="1177"/>
      <c r="M485" s="1177">
        <f t="shared" si="85"/>
        <v>0</v>
      </c>
      <c r="N485" s="1177">
        <f t="shared" si="86"/>
        <v>0</v>
      </c>
    </row>
    <row r="486" spans="1:14" ht="15.5" outlineLevel="1" x14ac:dyDescent="0.25">
      <c r="A486" s="1011">
        <f t="shared" si="97"/>
        <v>5</v>
      </c>
      <c r="B486" s="1169" t="str">
        <f t="shared" si="97"/>
        <v xml:space="preserve"> PROCUREMENT OF RBDV at Ghatghar HPS</v>
      </c>
      <c r="C486" s="1162">
        <f t="shared" si="97"/>
        <v>0</v>
      </c>
      <c r="D486" s="1081" t="str">
        <f t="shared" si="97"/>
        <v>-</v>
      </c>
      <c r="E486" s="1163">
        <f t="shared" si="97"/>
        <v>0</v>
      </c>
      <c r="F486" s="1177">
        <f t="shared" si="98"/>
        <v>0</v>
      </c>
      <c r="G486" s="1177">
        <f t="shared" si="99"/>
        <v>0</v>
      </c>
      <c r="H486" s="1177">
        <f t="shared" si="84"/>
        <v>0</v>
      </c>
      <c r="I486" s="1158">
        <v>0</v>
      </c>
      <c r="J486" s="1158">
        <v>0</v>
      </c>
      <c r="K486" s="1177"/>
      <c r="L486" s="1177"/>
      <c r="M486" s="1177">
        <f t="shared" si="85"/>
        <v>0</v>
      </c>
      <c r="N486" s="1177">
        <f t="shared" si="86"/>
        <v>0</v>
      </c>
    </row>
    <row r="487" spans="1:14" ht="15.5" outlineLevel="1" x14ac:dyDescent="0.25">
      <c r="A487" s="1044">
        <f t="shared" si="97"/>
        <v>0</v>
      </c>
      <c r="B487" s="1040">
        <f t="shared" si="97"/>
        <v>0</v>
      </c>
      <c r="C487" s="1162">
        <f t="shared" si="97"/>
        <v>0</v>
      </c>
      <c r="D487" s="1081" t="str">
        <f t="shared" si="97"/>
        <v>-</v>
      </c>
      <c r="E487" s="1163">
        <f t="shared" si="97"/>
        <v>0</v>
      </c>
      <c r="F487" s="1177">
        <f t="shared" si="98"/>
        <v>0</v>
      </c>
      <c r="G487" s="1177">
        <f t="shared" si="99"/>
        <v>0</v>
      </c>
      <c r="H487" s="1177">
        <f t="shared" si="84"/>
        <v>0</v>
      </c>
      <c r="I487" s="1158">
        <v>0</v>
      </c>
      <c r="J487" s="1158">
        <v>0</v>
      </c>
      <c r="K487" s="1177"/>
      <c r="L487" s="1177"/>
      <c r="M487" s="1177">
        <f t="shared" si="85"/>
        <v>0</v>
      </c>
      <c r="N487" s="1177">
        <f t="shared" si="86"/>
        <v>0</v>
      </c>
    </row>
    <row r="488" spans="1:14" ht="15.5" outlineLevel="1" x14ac:dyDescent="0.25">
      <c r="A488" s="1168">
        <f t="shared" si="97"/>
        <v>0</v>
      </c>
      <c r="B488" s="1172" t="str">
        <f t="shared" si="97"/>
        <v>DPR 8</v>
      </c>
      <c r="C488" s="1162">
        <f t="shared" si="97"/>
        <v>0</v>
      </c>
      <c r="D488" s="1081" t="str">
        <f t="shared" si="97"/>
        <v>-</v>
      </c>
      <c r="E488" s="1163">
        <f t="shared" si="97"/>
        <v>0</v>
      </c>
      <c r="F488" s="1177">
        <f t="shared" si="98"/>
        <v>0</v>
      </c>
      <c r="G488" s="1177">
        <f t="shared" si="99"/>
        <v>0</v>
      </c>
      <c r="H488" s="1177">
        <f t="shared" si="84"/>
        <v>0</v>
      </c>
      <c r="I488" s="1158">
        <v>0</v>
      </c>
      <c r="J488" s="1158">
        <v>0</v>
      </c>
      <c r="K488" s="1177"/>
      <c r="L488" s="1177"/>
      <c r="M488" s="1177">
        <f t="shared" si="85"/>
        <v>0</v>
      </c>
      <c r="N488" s="1177">
        <f t="shared" si="86"/>
        <v>0</v>
      </c>
    </row>
    <row r="489" spans="1:14" ht="46.5" outlineLevel="1" x14ac:dyDescent="0.25">
      <c r="A489" s="1011">
        <f t="shared" si="97"/>
        <v>1</v>
      </c>
      <c r="B489" s="1169" t="str">
        <f t="shared" si="97"/>
        <v xml:space="preserve">Comprehensive work of Renovation, Modification, Design, Manufacture, Supply, Erection, Testing &amp; Commissioning of new Generator  on single point responsibility at 60 MW Vaitarna HPS.                          </v>
      </c>
      <c r="C489" s="1162">
        <f t="shared" si="97"/>
        <v>0</v>
      </c>
      <c r="D489" s="1081" t="str">
        <f t="shared" si="97"/>
        <v>-</v>
      </c>
      <c r="E489" s="1163">
        <f t="shared" si="97"/>
        <v>0</v>
      </c>
      <c r="F489" s="1177">
        <f t="shared" si="98"/>
        <v>0</v>
      </c>
      <c r="G489" s="1177">
        <f t="shared" si="99"/>
        <v>0</v>
      </c>
      <c r="H489" s="1177">
        <f t="shared" si="84"/>
        <v>0</v>
      </c>
      <c r="I489" s="1158">
        <v>0</v>
      </c>
      <c r="J489" s="1158">
        <v>0</v>
      </c>
      <c r="K489" s="1177"/>
      <c r="L489" s="1177"/>
      <c r="M489" s="1177">
        <f t="shared" si="85"/>
        <v>0</v>
      </c>
      <c r="N489" s="1177">
        <f t="shared" si="86"/>
        <v>0</v>
      </c>
    </row>
    <row r="490" spans="1:14" ht="15.5" outlineLevel="1" x14ac:dyDescent="0.25">
      <c r="A490" s="1011">
        <f t="shared" si="97"/>
        <v>0</v>
      </c>
      <c r="B490" s="1012" t="str">
        <f t="shared" si="97"/>
        <v>B) Non-DPR Schemes</v>
      </c>
      <c r="C490" s="1162">
        <f t="shared" si="97"/>
        <v>0</v>
      </c>
      <c r="D490" s="1081" t="str">
        <f t="shared" si="97"/>
        <v>-</v>
      </c>
      <c r="E490" s="1163">
        <f t="shared" si="97"/>
        <v>0</v>
      </c>
      <c r="F490" s="1177">
        <f>F392+I392</f>
        <v>0</v>
      </c>
      <c r="G490" s="1177">
        <f>G392+M392</f>
        <v>0</v>
      </c>
      <c r="H490" s="1177">
        <f t="shared" si="84"/>
        <v>0</v>
      </c>
      <c r="I490" s="1158">
        <v>0</v>
      </c>
      <c r="J490" s="1158">
        <v>0</v>
      </c>
      <c r="K490" s="1177"/>
      <c r="L490" s="1177"/>
      <c r="M490" s="1177">
        <f t="shared" si="85"/>
        <v>0</v>
      </c>
      <c r="N490" s="1177">
        <f t="shared" si="86"/>
        <v>0</v>
      </c>
    </row>
    <row r="491" spans="1:14" ht="15.5" outlineLevel="1" x14ac:dyDescent="0.25">
      <c r="A491" s="1160">
        <f t="shared" ref="A491:E494" si="100">A393</f>
        <v>1</v>
      </c>
      <c r="B491" s="1035" t="str">
        <f t="shared" si="100"/>
        <v>Office Equipment</v>
      </c>
      <c r="C491" s="1162">
        <f t="shared" si="100"/>
        <v>0</v>
      </c>
      <c r="D491" s="1081" t="str">
        <f t="shared" si="100"/>
        <v>-</v>
      </c>
      <c r="E491" s="1163">
        <f t="shared" si="100"/>
        <v>0</v>
      </c>
      <c r="F491" s="1177">
        <f>F393+I393</f>
        <v>0.66373825499999994</v>
      </c>
      <c r="G491" s="1177">
        <f>G393+M393</f>
        <v>0.70044345600000002</v>
      </c>
      <c r="H491" s="1177">
        <f t="shared" si="84"/>
        <v>-3.6705201000000076E-2</v>
      </c>
      <c r="I491" s="1158">
        <v>0</v>
      </c>
      <c r="J491" s="1158">
        <v>0</v>
      </c>
      <c r="K491" s="1177"/>
      <c r="L491" s="1177"/>
      <c r="M491" s="1177">
        <f t="shared" si="85"/>
        <v>0</v>
      </c>
      <c r="N491" s="1177">
        <f t="shared" si="86"/>
        <v>-3.6705201000000076E-2</v>
      </c>
    </row>
    <row r="492" spans="1:14" ht="15.5" outlineLevel="1" x14ac:dyDescent="0.25">
      <c r="A492" s="1160">
        <f t="shared" si="100"/>
        <v>2</v>
      </c>
      <c r="B492" s="1034" t="str">
        <f t="shared" si="100"/>
        <v>Furniture &amp; Fixtures</v>
      </c>
      <c r="C492" s="1162">
        <f t="shared" si="100"/>
        <v>0</v>
      </c>
      <c r="D492" s="1081" t="str">
        <f t="shared" si="100"/>
        <v>-</v>
      </c>
      <c r="E492" s="1163">
        <f t="shared" si="100"/>
        <v>0</v>
      </c>
      <c r="F492" s="1177">
        <f>F394+I394</f>
        <v>3.5748099999999998E-2</v>
      </c>
      <c r="G492" s="1177">
        <f>G394+M394</f>
        <v>3.5748099999999998E-2</v>
      </c>
      <c r="H492" s="1177">
        <f t="shared" si="84"/>
        <v>0</v>
      </c>
      <c r="I492" s="1158">
        <v>0</v>
      </c>
      <c r="J492" s="1158">
        <v>0</v>
      </c>
      <c r="K492" s="1177"/>
      <c r="L492" s="1177"/>
      <c r="M492" s="1177">
        <f t="shared" si="85"/>
        <v>0</v>
      </c>
      <c r="N492" s="1177">
        <f t="shared" si="86"/>
        <v>0</v>
      </c>
    </row>
    <row r="493" spans="1:14" ht="62" outlineLevel="1" x14ac:dyDescent="0.25">
      <c r="A493" s="1160">
        <f t="shared" si="100"/>
        <v>3</v>
      </c>
      <c r="B493" s="1169" t="str">
        <f t="shared" si="100"/>
        <v xml:space="preserve">Replacement of existing 300AH/220VDC &amp; 200AH/220VDC Battery Set with new Lead acid Tubular Battery Set along with Design, manufacture, supply, installation, commissioning &amp; testing at Yeldari &amp; Paithan HPS </v>
      </c>
      <c r="C493" s="1162">
        <f t="shared" si="100"/>
        <v>0</v>
      </c>
      <c r="D493" s="1081" t="str">
        <f t="shared" si="100"/>
        <v>-</v>
      </c>
      <c r="E493" s="1163">
        <f t="shared" si="100"/>
        <v>0</v>
      </c>
      <c r="F493" s="1177">
        <f>F395+I395</f>
        <v>0.22830016</v>
      </c>
      <c r="G493" s="1177">
        <f>G395+M395</f>
        <v>0.22830016</v>
      </c>
      <c r="H493" s="1177">
        <f t="shared" si="84"/>
        <v>0</v>
      </c>
      <c r="I493" s="1158">
        <v>0</v>
      </c>
      <c r="J493" s="1158">
        <v>0</v>
      </c>
      <c r="K493" s="1177"/>
      <c r="L493" s="1177"/>
      <c r="M493" s="1177">
        <f t="shared" si="85"/>
        <v>0</v>
      </c>
      <c r="N493" s="1177">
        <f t="shared" si="86"/>
        <v>0</v>
      </c>
    </row>
    <row r="494" spans="1:14" ht="16" outlineLevel="1" thickBot="1" x14ac:dyDescent="0.3">
      <c r="A494" s="1160">
        <f t="shared" si="100"/>
        <v>4</v>
      </c>
      <c r="B494" s="1169" t="str">
        <f t="shared" si="100"/>
        <v>Vehicle (Fire Tender )</v>
      </c>
      <c r="C494" s="1162">
        <f t="shared" si="100"/>
        <v>0</v>
      </c>
      <c r="D494" s="1081" t="str">
        <f t="shared" si="100"/>
        <v>-</v>
      </c>
      <c r="E494" s="1163">
        <f t="shared" si="100"/>
        <v>0</v>
      </c>
      <c r="F494" s="1177">
        <f>F396+I396</f>
        <v>4.0077621479999994</v>
      </c>
      <c r="G494" s="1177">
        <f>G396+M396</f>
        <v>4.0077621479999994</v>
      </c>
      <c r="H494" s="1177">
        <f t="shared" si="84"/>
        <v>0</v>
      </c>
      <c r="I494" s="1158">
        <v>0</v>
      </c>
      <c r="J494" s="1158">
        <v>0</v>
      </c>
      <c r="K494" s="1177"/>
      <c r="L494" s="1177"/>
      <c r="M494" s="1177">
        <f t="shared" si="85"/>
        <v>0</v>
      </c>
      <c r="N494" s="1177">
        <f t="shared" si="86"/>
        <v>0</v>
      </c>
    </row>
    <row r="495" spans="1:14" ht="15" thickBot="1" x14ac:dyDescent="0.3">
      <c r="A495" s="1080"/>
      <c r="B495" s="1079" t="str">
        <f>B397</f>
        <v>Total</v>
      </c>
      <c r="C495" s="1078"/>
      <c r="D495" s="1077"/>
      <c r="E495" s="1173"/>
      <c r="F495" s="1174">
        <f t="shared" ref="F495:N495" si="101">SUM(F402:F494)</f>
        <v>174.28986108499998</v>
      </c>
      <c r="G495" s="1174">
        <f t="shared" si="101"/>
        <v>174.923260167</v>
      </c>
      <c r="H495" s="1174">
        <f t="shared" si="101"/>
        <v>-0.63339908200000072</v>
      </c>
      <c r="I495" s="1174">
        <f t="shared" si="101"/>
        <v>68</v>
      </c>
      <c r="J495" s="1174">
        <f t="shared" si="101"/>
        <v>68</v>
      </c>
      <c r="K495" s="1174">
        <f t="shared" si="101"/>
        <v>0</v>
      </c>
      <c r="L495" s="1174">
        <f t="shared" si="101"/>
        <v>0</v>
      </c>
      <c r="M495" s="1174">
        <f t="shared" si="101"/>
        <v>68</v>
      </c>
      <c r="N495" s="1174">
        <f t="shared" si="101"/>
        <v>-0.63339908200000072</v>
      </c>
    </row>
    <row r="496" spans="1:14" x14ac:dyDescent="0.25">
      <c r="F496" s="1175"/>
      <c r="G496" s="1175"/>
      <c r="H496" s="1175"/>
      <c r="I496" s="1175"/>
      <c r="J496" s="1175"/>
      <c r="K496" s="1175"/>
      <c r="L496" s="1175"/>
      <c r="M496" s="1175"/>
      <c r="N496" s="1175"/>
    </row>
    <row r="497" spans="1:16" x14ac:dyDescent="0.25">
      <c r="A497" s="1145"/>
      <c r="B497" s="1082" t="s">
        <v>945</v>
      </c>
      <c r="C497" s="1146"/>
      <c r="D497" s="1147"/>
      <c r="E497" s="1148"/>
      <c r="F497" s="1176"/>
      <c r="G497" s="1176"/>
      <c r="H497" s="1176"/>
      <c r="I497" s="1176"/>
      <c r="J497" s="1176"/>
      <c r="K497" s="1176"/>
      <c r="L497" s="1176"/>
      <c r="M497" s="1176"/>
      <c r="N497" s="1176"/>
    </row>
    <row r="498" spans="1:16" ht="15.5" outlineLevel="1" x14ac:dyDescent="0.25">
      <c r="A498" s="1149"/>
      <c r="B498" s="1012" t="str">
        <f t="shared" ref="B498:E505" si="102">B400</f>
        <v>a) DPR Schemes</v>
      </c>
      <c r="C498" s="1146"/>
      <c r="D498" s="1147"/>
      <c r="E498" s="1148"/>
      <c r="F498" s="1176"/>
      <c r="G498" s="1176"/>
      <c r="H498" s="1176"/>
      <c r="I498" s="1176"/>
      <c r="J498" s="1176"/>
      <c r="K498" s="1176"/>
      <c r="L498" s="1176"/>
      <c r="M498" s="1176"/>
      <c r="N498" s="1176"/>
    </row>
    <row r="499" spans="1:16" ht="15.5" outlineLevel="1" x14ac:dyDescent="0.25">
      <c r="A499" s="1149"/>
      <c r="B499" s="1150" t="str">
        <f t="shared" si="102"/>
        <v>(i) Submitted to MERC</v>
      </c>
      <c r="C499" s="1151"/>
      <c r="D499" s="1152"/>
      <c r="E499" s="1148"/>
      <c r="F499" s="1176"/>
      <c r="G499" s="1176"/>
      <c r="H499" s="1176"/>
      <c r="I499" s="1176"/>
      <c r="J499" s="1176"/>
      <c r="K499" s="1176"/>
      <c r="L499" s="1176"/>
      <c r="M499" s="1176"/>
      <c r="N499" s="1176"/>
    </row>
    <row r="500" spans="1:16" ht="31" outlineLevel="1" x14ac:dyDescent="0.25">
      <c r="A500" s="1153">
        <f t="shared" ref="A500:E507" si="103">A402</f>
        <v>2</v>
      </c>
      <c r="B500" s="1154" t="str">
        <f t="shared" si="102"/>
        <v>Various schemes of Hydro Power Stations at HPC Pune &amp; HPC Nasik</v>
      </c>
      <c r="C500" s="1155" t="str">
        <f t="shared" si="102"/>
        <v>MERC/TECH 12/CAPEX/20142015/00876</v>
      </c>
      <c r="D500" s="1156">
        <f t="shared" si="102"/>
        <v>41871</v>
      </c>
      <c r="E500" s="1157">
        <f t="shared" si="102"/>
        <v>0.73120000000000007</v>
      </c>
      <c r="F500" s="1158">
        <f t="shared" ref="F500:F507" si="104">F402+I402</f>
        <v>0</v>
      </c>
      <c r="G500" s="1158">
        <f t="shared" ref="G500:G507" si="105">G402+M402</f>
        <v>0</v>
      </c>
      <c r="H500" s="1158">
        <f>F500-G500</f>
        <v>0</v>
      </c>
      <c r="I500" s="1158">
        <v>0</v>
      </c>
      <c r="J500" s="1158">
        <v>0</v>
      </c>
      <c r="K500" s="1158"/>
      <c r="L500" s="1158"/>
      <c r="M500" s="1158">
        <f>SUM(J500:L500)</f>
        <v>0</v>
      </c>
      <c r="N500" s="1158">
        <f>H500+I500-M500</f>
        <v>0</v>
      </c>
      <c r="O500" s="1159">
        <f t="shared" ref="O500:O505" si="106">MAX(0,IF(M500=0,0,IF(G500+M500&lt;E500,M500,E500-G500)))</f>
        <v>0</v>
      </c>
      <c r="P500" s="1014">
        <f t="shared" ref="P500:P505" si="107">M500-O500</f>
        <v>0</v>
      </c>
    </row>
    <row r="501" spans="1:16" ht="46.5" outlineLevel="1" x14ac:dyDescent="0.25">
      <c r="A501" s="1160">
        <f t="shared" si="103"/>
        <v>2.6</v>
      </c>
      <c r="B501" s="1161" t="str">
        <f t="shared" si="102"/>
        <v>Supply, testing, installation and commissioning of Exide make 300 AH 220 V Lead acid stationary Plante type station battery set for Vaitarna HPS</v>
      </c>
      <c r="C501" s="1162" t="str">
        <f t="shared" si="102"/>
        <v>MERC/TECH 12/CAPEX/20142015/00876</v>
      </c>
      <c r="D501" s="1081">
        <f t="shared" si="102"/>
        <v>41871</v>
      </c>
      <c r="E501" s="1163">
        <f t="shared" si="102"/>
        <v>0.2</v>
      </c>
      <c r="F501" s="1177">
        <f t="shared" si="104"/>
        <v>0.1988615</v>
      </c>
      <c r="G501" s="1177">
        <f t="shared" si="105"/>
        <v>0.1988615</v>
      </c>
      <c r="H501" s="1177">
        <f t="shared" ref="H501:H592" si="108">F501-G501</f>
        <v>0</v>
      </c>
      <c r="I501" s="1158">
        <v>0</v>
      </c>
      <c r="J501" s="1158">
        <v>0</v>
      </c>
      <c r="K501" s="1177"/>
      <c r="L501" s="1177"/>
      <c r="M501" s="1177">
        <f t="shared" ref="M501:M592" si="109">SUM(J501:L501)</f>
        <v>0</v>
      </c>
      <c r="N501" s="1177">
        <f t="shared" ref="N501:N592" si="110">H501+I501-M501</f>
        <v>0</v>
      </c>
      <c r="O501" s="1159">
        <f t="shared" si="106"/>
        <v>0</v>
      </c>
      <c r="P501" s="1014">
        <f t="shared" si="107"/>
        <v>0</v>
      </c>
    </row>
    <row r="502" spans="1:16" ht="46.5" outlineLevel="1" x14ac:dyDescent="0.25">
      <c r="A502" s="1160">
        <f t="shared" si="103"/>
        <v>2.7</v>
      </c>
      <c r="B502" s="1161" t="str">
        <f t="shared" si="102"/>
        <v>Supply, testing, installation and commissioning of Exide make 300 AH 220 V Lead acid stationary Plante type station battery set for Bhatsa HPS</v>
      </c>
      <c r="C502" s="1162" t="str">
        <f t="shared" si="102"/>
        <v>MERC/TECH 12/CAPEX/20142015/00876</v>
      </c>
      <c r="D502" s="1081">
        <f t="shared" si="102"/>
        <v>41871</v>
      </c>
      <c r="E502" s="1163">
        <f t="shared" si="102"/>
        <v>0.2</v>
      </c>
      <c r="F502" s="1177">
        <f t="shared" si="104"/>
        <v>0.1988615</v>
      </c>
      <c r="G502" s="1177">
        <f t="shared" si="105"/>
        <v>0.1988615</v>
      </c>
      <c r="H502" s="1177">
        <f t="shared" si="108"/>
        <v>0</v>
      </c>
      <c r="I502" s="1158">
        <v>0</v>
      </c>
      <c r="J502" s="1158">
        <v>0</v>
      </c>
      <c r="K502" s="1177"/>
      <c r="L502" s="1177"/>
      <c r="M502" s="1177">
        <f t="shared" si="109"/>
        <v>0</v>
      </c>
      <c r="N502" s="1177">
        <f t="shared" si="110"/>
        <v>0</v>
      </c>
      <c r="O502" s="1159">
        <f t="shared" si="106"/>
        <v>0</v>
      </c>
      <c r="P502" s="1014">
        <f t="shared" si="107"/>
        <v>0</v>
      </c>
    </row>
    <row r="503" spans="1:16" ht="29" outlineLevel="1" x14ac:dyDescent="0.25">
      <c r="A503" s="1160">
        <f t="shared" si="103"/>
        <v>0</v>
      </c>
      <c r="B503" s="1161" t="str">
        <f t="shared" si="102"/>
        <v>IDC</v>
      </c>
      <c r="C503" s="1162" t="str">
        <f t="shared" si="102"/>
        <v>MERC/TECH 12/CAPEX/20142015/00876</v>
      </c>
      <c r="D503" s="1081">
        <f t="shared" si="102"/>
        <v>41871</v>
      </c>
      <c r="E503" s="1163">
        <f t="shared" si="102"/>
        <v>0.33119999999999999</v>
      </c>
      <c r="F503" s="1177">
        <f t="shared" si="104"/>
        <v>0</v>
      </c>
      <c r="G503" s="1177">
        <f t="shared" si="105"/>
        <v>0</v>
      </c>
      <c r="H503" s="1177">
        <f t="shared" si="108"/>
        <v>0</v>
      </c>
      <c r="I503" s="1158">
        <v>0</v>
      </c>
      <c r="J503" s="1158">
        <v>0</v>
      </c>
      <c r="K503" s="1177"/>
      <c r="L503" s="1177"/>
      <c r="M503" s="1177">
        <f t="shared" si="109"/>
        <v>0</v>
      </c>
      <c r="N503" s="1177">
        <f t="shared" si="110"/>
        <v>0</v>
      </c>
      <c r="O503" s="1159">
        <f t="shared" si="106"/>
        <v>0</v>
      </c>
      <c r="P503" s="1014">
        <f t="shared" si="107"/>
        <v>0</v>
      </c>
    </row>
    <row r="504" spans="1:16" ht="31" outlineLevel="1" x14ac:dyDescent="0.25">
      <c r="A504" s="1153">
        <f t="shared" si="103"/>
        <v>6</v>
      </c>
      <c r="B504" s="1154" t="str">
        <f t="shared" si="102"/>
        <v>Upgradation of Protection Systems at Ghatghar (2x125MW) and Bhatsa (1x15MW) HPS under HPC Nasik</v>
      </c>
      <c r="C504" s="1155" t="str">
        <f t="shared" si="102"/>
        <v>MERC/CAPEX/20172018/04220</v>
      </c>
      <c r="D504" s="1156">
        <f t="shared" si="102"/>
        <v>42997</v>
      </c>
      <c r="E504" s="1157">
        <f t="shared" si="102"/>
        <v>15.104000000000001</v>
      </c>
      <c r="F504" s="1158">
        <f t="shared" si="104"/>
        <v>0</v>
      </c>
      <c r="G504" s="1158">
        <f t="shared" si="105"/>
        <v>0</v>
      </c>
      <c r="H504" s="1158">
        <f t="shared" si="108"/>
        <v>0</v>
      </c>
      <c r="I504" s="1158">
        <v>0</v>
      </c>
      <c r="J504" s="1158">
        <v>0</v>
      </c>
      <c r="K504" s="1158"/>
      <c r="L504" s="1158"/>
      <c r="M504" s="1158">
        <f t="shared" si="109"/>
        <v>0</v>
      </c>
      <c r="N504" s="1158">
        <f t="shared" si="110"/>
        <v>0</v>
      </c>
      <c r="O504" s="1159">
        <f t="shared" si="106"/>
        <v>0</v>
      </c>
      <c r="P504" s="1014">
        <f t="shared" si="107"/>
        <v>0</v>
      </c>
    </row>
    <row r="505" spans="1:16" ht="31" outlineLevel="1" x14ac:dyDescent="0.25">
      <c r="A505" s="1160">
        <f t="shared" si="103"/>
        <v>6.1</v>
      </c>
      <c r="B505" s="1161" t="str">
        <f t="shared" si="102"/>
        <v>Up gradation of Protection System &amp;unitrol excitation system at Ghatghar Hydro Power Station.</v>
      </c>
      <c r="C505" s="1162" t="str">
        <f t="shared" si="102"/>
        <v>MERC/CAPEX/20172018/04220</v>
      </c>
      <c r="D505" s="1081">
        <f t="shared" si="102"/>
        <v>42997</v>
      </c>
      <c r="E505" s="1163">
        <f t="shared" si="102"/>
        <v>9.6780000000000008</v>
      </c>
      <c r="F505" s="1177">
        <f t="shared" si="104"/>
        <v>0</v>
      </c>
      <c r="G505" s="1177">
        <f t="shared" si="105"/>
        <v>0</v>
      </c>
      <c r="H505" s="1177">
        <f t="shared" si="108"/>
        <v>0</v>
      </c>
      <c r="I505" s="1158">
        <v>0</v>
      </c>
      <c r="J505" s="1158">
        <v>0</v>
      </c>
      <c r="K505" s="1177"/>
      <c r="L505" s="1177"/>
      <c r="M505" s="1177">
        <f t="shared" si="109"/>
        <v>0</v>
      </c>
      <c r="N505" s="1177">
        <f t="shared" si="110"/>
        <v>0</v>
      </c>
      <c r="O505" s="1159">
        <f t="shared" si="106"/>
        <v>0</v>
      </c>
      <c r="P505" s="1014">
        <f t="shared" si="107"/>
        <v>0</v>
      </c>
    </row>
    <row r="506" spans="1:16" ht="31" outlineLevel="1" x14ac:dyDescent="0.25">
      <c r="A506" s="1160">
        <f t="shared" si="103"/>
        <v>0</v>
      </c>
      <c r="B506" s="1161" t="str">
        <f t="shared" si="103"/>
        <v>Part A : upgradation of unitrol excitation system for both units at GHPS</v>
      </c>
      <c r="C506" s="1162">
        <f t="shared" si="103"/>
        <v>0</v>
      </c>
      <c r="D506" s="1081" t="str">
        <f t="shared" si="103"/>
        <v>-</v>
      </c>
      <c r="E506" s="1163">
        <f t="shared" si="103"/>
        <v>0</v>
      </c>
      <c r="F506" s="1177">
        <f t="shared" si="104"/>
        <v>3.4190499999999999</v>
      </c>
      <c r="G506" s="1177">
        <f t="shared" si="105"/>
        <v>3.4190499999999999</v>
      </c>
      <c r="H506" s="1177">
        <f t="shared" si="108"/>
        <v>0</v>
      </c>
      <c r="I506" s="1158">
        <v>0</v>
      </c>
      <c r="J506" s="1158">
        <v>0</v>
      </c>
      <c r="K506" s="1177"/>
      <c r="L506" s="1177"/>
      <c r="M506" s="1177">
        <f t="shared" si="109"/>
        <v>0</v>
      </c>
      <c r="N506" s="1177">
        <f t="shared" si="110"/>
        <v>0</v>
      </c>
      <c r="O506" s="1159"/>
      <c r="P506" s="1014"/>
    </row>
    <row r="507" spans="1:16" ht="15.5" outlineLevel="1" x14ac:dyDescent="0.25">
      <c r="A507" s="1160">
        <f t="shared" si="103"/>
        <v>0</v>
      </c>
      <c r="B507" s="1161" t="str">
        <f t="shared" si="103"/>
        <v>Part B : upgradation of Protection system for both units at GHPS</v>
      </c>
      <c r="C507" s="1162">
        <f t="shared" si="103"/>
        <v>0</v>
      </c>
      <c r="D507" s="1081" t="str">
        <f t="shared" si="103"/>
        <v>-</v>
      </c>
      <c r="E507" s="1163">
        <f t="shared" si="103"/>
        <v>0</v>
      </c>
      <c r="F507" s="1177">
        <f t="shared" si="104"/>
        <v>2.9146000000000001</v>
      </c>
      <c r="G507" s="1177">
        <f t="shared" si="105"/>
        <v>2.9146000000000001</v>
      </c>
      <c r="H507" s="1177">
        <f t="shared" si="108"/>
        <v>0</v>
      </c>
      <c r="I507" s="1158">
        <v>0</v>
      </c>
      <c r="J507" s="1158">
        <v>0</v>
      </c>
      <c r="K507" s="1177"/>
      <c r="L507" s="1177"/>
      <c r="M507" s="1177">
        <f t="shared" si="109"/>
        <v>0</v>
      </c>
      <c r="N507" s="1177">
        <f t="shared" si="110"/>
        <v>0</v>
      </c>
      <c r="O507" s="1159"/>
      <c r="P507" s="1014"/>
    </row>
    <row r="508" spans="1:16" ht="46.5" outlineLevel="1" x14ac:dyDescent="0.25">
      <c r="A508" s="1160">
        <f>A410</f>
        <v>6.2</v>
      </c>
      <c r="B508" s="1161" t="str">
        <f>B410</f>
        <v>Up gradation of ABB Make Protection System &amp; Automatic Voltage Regulator, Relay Based Unit &amp; Auxiliary control for Bhatsa Hydro Power Station(1 X 15MW).</v>
      </c>
      <c r="C508" s="1162" t="str">
        <f>C410</f>
        <v>MERC/CAPEX/20172018/04220</v>
      </c>
      <c r="D508" s="1081">
        <f>D410</f>
        <v>42997</v>
      </c>
      <c r="E508" s="1163">
        <f>E410</f>
        <v>5.4260000000000002</v>
      </c>
      <c r="F508" s="1177">
        <f>F410+I410</f>
        <v>0</v>
      </c>
      <c r="G508" s="1177">
        <f>G410+M410</f>
        <v>0</v>
      </c>
      <c r="H508" s="1177">
        <f t="shared" si="108"/>
        <v>0</v>
      </c>
      <c r="I508" s="1158">
        <v>0</v>
      </c>
      <c r="J508" s="1158">
        <v>0</v>
      </c>
      <c r="K508" s="1177"/>
      <c r="L508" s="1177"/>
      <c r="M508" s="1177">
        <f t="shared" si="109"/>
        <v>0</v>
      </c>
      <c r="N508" s="1177">
        <f t="shared" si="110"/>
        <v>0</v>
      </c>
      <c r="O508" s="1159">
        <f t="shared" ref="O508" si="111">MAX(0,IF(M508=0,0,IF(G508+M508&lt;E508,M508,E508-G508)))</f>
        <v>0</v>
      </c>
      <c r="P508" s="1014">
        <f t="shared" ref="P508" si="112">M508-O508</f>
        <v>0</v>
      </c>
    </row>
    <row r="509" spans="1:16" ht="46.5" outlineLevel="1" x14ac:dyDescent="0.25">
      <c r="A509" s="1160">
        <f t="shared" ref="A509:E524" si="113">A411</f>
        <v>0</v>
      </c>
      <c r="B509" s="1161" t="str">
        <f t="shared" si="113"/>
        <v xml:space="preserve"> Protection system Part A:- Restoration and up-gradation of electromechanical and static relays with numerical relays along with installation, testing, commissioning, and misc. allied works </v>
      </c>
      <c r="C509" s="1162">
        <f t="shared" si="113"/>
        <v>0</v>
      </c>
      <c r="D509" s="1081" t="str">
        <f t="shared" si="113"/>
        <v>-</v>
      </c>
      <c r="E509" s="1163">
        <f t="shared" si="113"/>
        <v>0</v>
      </c>
      <c r="F509" s="1177">
        <f t="shared" ref="F509:F572" si="114">F411+I411</f>
        <v>0</v>
      </c>
      <c r="G509" s="1177">
        <f t="shared" ref="G509:G572" si="115">G411+M411</f>
        <v>0.45666000000000001</v>
      </c>
      <c r="H509" s="1177">
        <f t="shared" si="108"/>
        <v>-0.45666000000000001</v>
      </c>
      <c r="I509" s="1158">
        <v>0</v>
      </c>
      <c r="J509" s="1158">
        <v>0</v>
      </c>
      <c r="K509" s="1177"/>
      <c r="L509" s="1177"/>
      <c r="M509" s="1177">
        <f t="shared" si="109"/>
        <v>0</v>
      </c>
      <c r="N509" s="1177">
        <f t="shared" si="110"/>
        <v>-0.45666000000000001</v>
      </c>
      <c r="O509" s="1159"/>
      <c r="P509" s="1014"/>
    </row>
    <row r="510" spans="1:16" ht="31" outlineLevel="1" x14ac:dyDescent="0.25">
      <c r="A510" s="1160">
        <f t="shared" si="113"/>
        <v>0</v>
      </c>
      <c r="B510" s="1161" t="str">
        <f t="shared" si="113"/>
        <v>Protection system Part B:- Procure of redundant &amp; spare Numerical relays for Generator and G T Protection system.</v>
      </c>
      <c r="C510" s="1162">
        <f t="shared" si="113"/>
        <v>0</v>
      </c>
      <c r="D510" s="1081" t="str">
        <f t="shared" si="113"/>
        <v>-</v>
      </c>
      <c r="E510" s="1163">
        <f t="shared" si="113"/>
        <v>0</v>
      </c>
      <c r="F510" s="1177">
        <f t="shared" si="114"/>
        <v>0.65</v>
      </c>
      <c r="G510" s="1177">
        <f t="shared" si="115"/>
        <v>0.65</v>
      </c>
      <c r="H510" s="1177">
        <f t="shared" si="108"/>
        <v>0</v>
      </c>
      <c r="I510" s="1158">
        <v>0</v>
      </c>
      <c r="J510" s="1158">
        <v>0</v>
      </c>
      <c r="K510" s="1177"/>
      <c r="L510" s="1177"/>
      <c r="M510" s="1177">
        <f t="shared" si="109"/>
        <v>0</v>
      </c>
      <c r="N510" s="1177">
        <f t="shared" si="110"/>
        <v>0</v>
      </c>
      <c r="O510" s="1159"/>
      <c r="P510" s="1014"/>
    </row>
    <row r="511" spans="1:16" ht="46.5" outlineLevel="1" x14ac:dyDescent="0.25">
      <c r="A511" s="1160">
        <f t="shared" si="113"/>
        <v>0</v>
      </c>
      <c r="B511" s="1161" t="str">
        <f t="shared" si="113"/>
        <v>C- Supply erection, testing and Commissioning and supervision of dismantling and erection of static excitation system and control system along with field instrumentation at Bhatsa HPS</v>
      </c>
      <c r="C511" s="1162">
        <f t="shared" si="113"/>
        <v>0</v>
      </c>
      <c r="D511" s="1081" t="str">
        <f t="shared" si="113"/>
        <v>-</v>
      </c>
      <c r="E511" s="1163">
        <f t="shared" si="113"/>
        <v>0</v>
      </c>
      <c r="F511" s="1177">
        <f t="shared" si="114"/>
        <v>3.8231999999999999</v>
      </c>
      <c r="G511" s="1177">
        <f t="shared" si="115"/>
        <v>3.8231999999999999</v>
      </c>
      <c r="H511" s="1177">
        <f t="shared" si="108"/>
        <v>0</v>
      </c>
      <c r="I511" s="1158">
        <v>0</v>
      </c>
      <c r="J511" s="1158">
        <v>0</v>
      </c>
      <c r="K511" s="1177"/>
      <c r="L511" s="1177"/>
      <c r="M511" s="1177">
        <f t="shared" si="109"/>
        <v>0</v>
      </c>
      <c r="N511" s="1177">
        <f t="shared" si="110"/>
        <v>0</v>
      </c>
      <c r="O511" s="1159"/>
      <c r="P511" s="1014"/>
    </row>
    <row r="512" spans="1:16" ht="31" outlineLevel="1" x14ac:dyDescent="0.25">
      <c r="A512" s="1153">
        <f t="shared" si="113"/>
        <v>9</v>
      </c>
      <c r="B512" s="1154" t="str">
        <f t="shared" si="113"/>
        <v>Various Civil schemes for Modernisations of colonies at Various Locations under Nasik HPC</v>
      </c>
      <c r="C512" s="1155" t="str">
        <f t="shared" si="113"/>
        <v>MERC/CAPEX/20162017/04757</v>
      </c>
      <c r="D512" s="1156">
        <f t="shared" si="113"/>
        <v>43061</v>
      </c>
      <c r="E512" s="1157">
        <f t="shared" si="113"/>
        <v>14.566664273199997</v>
      </c>
      <c r="F512" s="1158">
        <f t="shared" si="114"/>
        <v>0</v>
      </c>
      <c r="G512" s="1158">
        <f t="shared" si="115"/>
        <v>0</v>
      </c>
      <c r="H512" s="1158">
        <f t="shared" si="108"/>
        <v>0</v>
      </c>
      <c r="I512" s="1158">
        <v>0</v>
      </c>
      <c r="J512" s="1158">
        <v>0</v>
      </c>
      <c r="K512" s="1158"/>
      <c r="L512" s="1158"/>
      <c r="M512" s="1158">
        <f t="shared" si="109"/>
        <v>0</v>
      </c>
      <c r="N512" s="1158">
        <f t="shared" si="110"/>
        <v>0</v>
      </c>
      <c r="O512" s="1159">
        <f t="shared" ref="O512:O531" si="116">MAX(0,IF(M512=0,0,IF(G512+M512&lt;E512,M512,E512-G512)))</f>
        <v>0</v>
      </c>
      <c r="P512" s="1014">
        <f t="shared" ref="P512:P531" si="117">M512-O512</f>
        <v>0</v>
      </c>
    </row>
    <row r="513" spans="1:16" ht="46.5" outlineLevel="1" x14ac:dyDescent="0.25">
      <c r="A513" s="1160">
        <f t="shared" si="113"/>
        <v>9.1</v>
      </c>
      <c r="B513" s="1161" t="str">
        <f t="shared" si="113"/>
        <v>Part A: Refurbishment of quarters in colony, administartive buidings club building, guest house at various HPS under Nashik HPS</v>
      </c>
      <c r="C513" s="1162" t="str">
        <f t="shared" si="113"/>
        <v>MERC/CAPEX/20162017/04757</v>
      </c>
      <c r="D513" s="1081">
        <f t="shared" si="113"/>
        <v>43061</v>
      </c>
      <c r="E513" s="1163">
        <f t="shared" si="113"/>
        <v>3.7363539351999999</v>
      </c>
      <c r="F513" s="1177">
        <f t="shared" si="114"/>
        <v>3.6419878699999999</v>
      </c>
      <c r="G513" s="1177">
        <f t="shared" si="115"/>
        <v>4.2510011510000005</v>
      </c>
      <c r="H513" s="1177">
        <f t="shared" si="108"/>
        <v>-0.60901328100000063</v>
      </c>
      <c r="I513" s="1158">
        <v>0</v>
      </c>
      <c r="J513" s="1158">
        <v>0</v>
      </c>
      <c r="K513" s="1177"/>
      <c r="L513" s="1177"/>
      <c r="M513" s="1177">
        <f t="shared" si="109"/>
        <v>0</v>
      </c>
      <c r="N513" s="1177">
        <f t="shared" si="110"/>
        <v>-0.60901328100000063</v>
      </c>
      <c r="O513" s="1159">
        <f t="shared" si="116"/>
        <v>0</v>
      </c>
      <c r="P513" s="1014">
        <f t="shared" si="117"/>
        <v>0</v>
      </c>
    </row>
    <row r="514" spans="1:16" ht="31" outlineLevel="1" x14ac:dyDescent="0.25">
      <c r="A514" s="1160">
        <f t="shared" si="113"/>
        <v>9.1999999999999993</v>
      </c>
      <c r="B514" s="1161" t="str">
        <f t="shared" si="113"/>
        <v>Part B: Providing and laying water supply lines within colony and power house area at various HPS under Nashik HPS</v>
      </c>
      <c r="C514" s="1162" t="str">
        <f t="shared" si="113"/>
        <v>MERC/CAPEX/20162017/04757</v>
      </c>
      <c r="D514" s="1081">
        <f t="shared" si="113"/>
        <v>43061</v>
      </c>
      <c r="E514" s="1163">
        <f t="shared" si="113"/>
        <v>0.50088049999999995</v>
      </c>
      <c r="F514" s="1177">
        <f t="shared" si="114"/>
        <v>0.11901328100000001</v>
      </c>
      <c r="G514" s="1177">
        <f t="shared" si="115"/>
        <v>0.11901328100000001</v>
      </c>
      <c r="H514" s="1177">
        <f t="shared" si="108"/>
        <v>0</v>
      </c>
      <c r="I514" s="1158">
        <v>0</v>
      </c>
      <c r="J514" s="1158">
        <v>0</v>
      </c>
      <c r="K514" s="1177"/>
      <c r="L514" s="1177"/>
      <c r="M514" s="1177">
        <f t="shared" si="109"/>
        <v>0</v>
      </c>
      <c r="N514" s="1177">
        <f t="shared" si="110"/>
        <v>0</v>
      </c>
      <c r="O514" s="1159">
        <f t="shared" si="116"/>
        <v>0</v>
      </c>
      <c r="P514" s="1014">
        <f t="shared" si="117"/>
        <v>0</v>
      </c>
    </row>
    <row r="515" spans="1:16" ht="31" outlineLevel="1" x14ac:dyDescent="0.25">
      <c r="A515" s="1160">
        <f t="shared" si="113"/>
        <v>9.3000000000000007</v>
      </c>
      <c r="B515" s="1161" t="str">
        <f t="shared" si="113"/>
        <v>Part C: Construction of compund wall/chainlink fencing around colony and power house area at various HPS under Nashik HPS.</v>
      </c>
      <c r="C515" s="1162" t="str">
        <f t="shared" si="113"/>
        <v>MERC/CAPEX/20162017/04757</v>
      </c>
      <c r="D515" s="1081">
        <f t="shared" si="113"/>
        <v>43061</v>
      </c>
      <c r="E515" s="1163">
        <f t="shared" si="113"/>
        <v>0.74832697199999998</v>
      </c>
      <c r="F515" s="1177">
        <f t="shared" si="114"/>
        <v>0.17</v>
      </c>
      <c r="G515" s="1177">
        <f t="shared" si="115"/>
        <v>0.17</v>
      </c>
      <c r="H515" s="1177">
        <f t="shared" si="108"/>
        <v>0</v>
      </c>
      <c r="I515" s="1158">
        <v>0</v>
      </c>
      <c r="J515" s="1158">
        <v>0</v>
      </c>
      <c r="K515" s="1177"/>
      <c r="L515" s="1177"/>
      <c r="M515" s="1177">
        <f t="shared" si="109"/>
        <v>0</v>
      </c>
      <c r="N515" s="1177">
        <f t="shared" si="110"/>
        <v>0</v>
      </c>
      <c r="O515" s="1159">
        <f t="shared" si="116"/>
        <v>0</v>
      </c>
      <c r="P515" s="1014">
        <f t="shared" si="117"/>
        <v>0</v>
      </c>
    </row>
    <row r="516" spans="1:16" ht="62" outlineLevel="1" x14ac:dyDescent="0.25">
      <c r="A516" s="1160">
        <f t="shared" si="113"/>
        <v>9.4</v>
      </c>
      <c r="B516" s="1161" t="str">
        <f t="shared" si="113"/>
        <v>Part D: Providing &amp; relaying of existing internal roads within colony area and approach roads to power house &amp; construction of storm water gutter along road at various HPS under HPC Nashik</v>
      </c>
      <c r="C516" s="1162" t="str">
        <f t="shared" si="113"/>
        <v>MERC/CAPEX/20162017/04757</v>
      </c>
      <c r="D516" s="1081">
        <f t="shared" si="113"/>
        <v>43061</v>
      </c>
      <c r="E516" s="1163">
        <f t="shared" si="113"/>
        <v>9.5811028659999984</v>
      </c>
      <c r="F516" s="1177">
        <f t="shared" si="114"/>
        <v>4.0537161709999996</v>
      </c>
      <c r="G516" s="1177">
        <f t="shared" si="115"/>
        <v>4.0537161709999996</v>
      </c>
      <c r="H516" s="1177">
        <f t="shared" si="108"/>
        <v>0</v>
      </c>
      <c r="I516" s="1158">
        <v>0</v>
      </c>
      <c r="J516" s="1158">
        <v>0</v>
      </c>
      <c r="K516" s="1177"/>
      <c r="L516" s="1177"/>
      <c r="M516" s="1177">
        <f t="shared" si="109"/>
        <v>0</v>
      </c>
      <c r="N516" s="1177">
        <f t="shared" si="110"/>
        <v>0</v>
      </c>
      <c r="O516" s="1159">
        <f t="shared" si="116"/>
        <v>0</v>
      </c>
      <c r="P516" s="1014">
        <f t="shared" si="117"/>
        <v>0</v>
      </c>
    </row>
    <row r="517" spans="1:16" ht="46.5" outlineLevel="1" x14ac:dyDescent="0.25">
      <c r="A517" s="1153">
        <f t="shared" si="113"/>
        <v>10</v>
      </c>
      <c r="B517" s="1154" t="str">
        <f t="shared" si="113"/>
        <v>Upgradation of existing PLC system to latest symphony plus SCADA &amp; DCS system of Ghatghar HPS (2x125 MW) under HPS Nasik</v>
      </c>
      <c r="C517" s="1155" t="str">
        <f t="shared" si="113"/>
        <v>MERC/CAPEX/20172018/0198</v>
      </c>
      <c r="D517" s="1156">
        <f t="shared" si="113"/>
        <v>43137</v>
      </c>
      <c r="E517" s="1157">
        <f t="shared" si="113"/>
        <v>13.345000000000001</v>
      </c>
      <c r="F517" s="1158">
        <f t="shared" si="114"/>
        <v>0</v>
      </c>
      <c r="G517" s="1158">
        <f t="shared" si="115"/>
        <v>0</v>
      </c>
      <c r="H517" s="1158">
        <f t="shared" si="108"/>
        <v>0</v>
      </c>
      <c r="I517" s="1158">
        <v>0</v>
      </c>
      <c r="J517" s="1158">
        <v>0</v>
      </c>
      <c r="K517" s="1158"/>
      <c r="L517" s="1158"/>
      <c r="M517" s="1158">
        <f t="shared" si="109"/>
        <v>0</v>
      </c>
      <c r="N517" s="1158">
        <f t="shared" si="110"/>
        <v>0</v>
      </c>
      <c r="O517" s="1159">
        <f t="shared" si="116"/>
        <v>0</v>
      </c>
      <c r="P517" s="1014">
        <f t="shared" si="117"/>
        <v>0</v>
      </c>
    </row>
    <row r="518" spans="1:16" ht="46.5" outlineLevel="1" x14ac:dyDescent="0.25">
      <c r="A518" s="1160">
        <f t="shared" si="113"/>
        <v>10.1</v>
      </c>
      <c r="B518" s="1161" t="str">
        <f t="shared" si="113"/>
        <v>Upgradation of existing PLC system to latest symphony plus SCADA &amp; DCS system of Ghatghar HPS (2x125 MW) under HPS Nasik</v>
      </c>
      <c r="C518" s="1162" t="str">
        <f t="shared" si="113"/>
        <v>MERC/CAPEX/20172018/0198</v>
      </c>
      <c r="D518" s="1081">
        <f t="shared" si="113"/>
        <v>43137</v>
      </c>
      <c r="E518" s="1163">
        <f t="shared" si="113"/>
        <v>13.345000000000001</v>
      </c>
      <c r="F518" s="1177">
        <f t="shared" si="114"/>
        <v>14.55025</v>
      </c>
      <c r="G518" s="1177">
        <f t="shared" si="115"/>
        <v>14.55025</v>
      </c>
      <c r="H518" s="1177">
        <f t="shared" si="108"/>
        <v>0</v>
      </c>
      <c r="I518" s="1158">
        <v>0</v>
      </c>
      <c r="J518" s="1158">
        <v>0</v>
      </c>
      <c r="K518" s="1177"/>
      <c r="L518" s="1177"/>
      <c r="M518" s="1177">
        <f t="shared" si="109"/>
        <v>0</v>
      </c>
      <c r="N518" s="1177">
        <f t="shared" si="110"/>
        <v>0</v>
      </c>
      <c r="O518" s="1159">
        <f t="shared" si="116"/>
        <v>0</v>
      </c>
      <c r="P518" s="1014">
        <f t="shared" si="117"/>
        <v>0</v>
      </c>
    </row>
    <row r="519" spans="1:16" ht="31" outlineLevel="1" x14ac:dyDescent="0.25">
      <c r="A519" s="1153">
        <f t="shared" si="113"/>
        <v>14</v>
      </c>
      <c r="B519" s="1154" t="str">
        <f t="shared" si="113"/>
        <v>Various 14 Nos. of schemes for Hydro Power Stations under Renewable Energy Circle, Pune &amp; Nasik</v>
      </c>
      <c r="C519" s="1155" t="str">
        <f t="shared" si="113"/>
        <v>MERC/CAPEX/2020-21/WFH/SBR/ 19</v>
      </c>
      <c r="D519" s="1156">
        <f t="shared" si="113"/>
        <v>44029</v>
      </c>
      <c r="E519" s="1157">
        <f t="shared" si="113"/>
        <v>8.9129999999999985</v>
      </c>
      <c r="F519" s="1158">
        <f t="shared" si="114"/>
        <v>0</v>
      </c>
      <c r="G519" s="1158">
        <f t="shared" si="115"/>
        <v>0</v>
      </c>
      <c r="H519" s="1158">
        <f t="shared" si="108"/>
        <v>0</v>
      </c>
      <c r="I519" s="1158">
        <v>0</v>
      </c>
      <c r="J519" s="1158">
        <v>0</v>
      </c>
      <c r="K519" s="1158"/>
      <c r="L519" s="1158"/>
      <c r="M519" s="1158">
        <f t="shared" si="109"/>
        <v>0</v>
      </c>
      <c r="N519" s="1158">
        <f t="shared" si="110"/>
        <v>0</v>
      </c>
      <c r="O519" s="1159">
        <f t="shared" si="116"/>
        <v>0</v>
      </c>
      <c r="P519" s="1014">
        <f t="shared" si="117"/>
        <v>0</v>
      </c>
    </row>
    <row r="520" spans="1:16" ht="31" outlineLevel="1" x14ac:dyDescent="0.25">
      <c r="A520" s="1164">
        <f t="shared" si="113"/>
        <v>14.1</v>
      </c>
      <c r="B520" s="1161" t="str">
        <f t="shared" si="113"/>
        <v>Schme-C :Replacement of existing Energy meters by 0.2S Class Energy meters at various HPS.</v>
      </c>
      <c r="C520" s="1162" t="str">
        <f t="shared" si="113"/>
        <v>MERC/CAPEX/2020-21/WFH/SBR/ 19</v>
      </c>
      <c r="D520" s="1081">
        <f t="shared" si="113"/>
        <v>44029</v>
      </c>
      <c r="E520" s="1163">
        <f t="shared" si="113"/>
        <v>0.10199999999999999</v>
      </c>
      <c r="F520" s="1177">
        <f t="shared" si="114"/>
        <v>0</v>
      </c>
      <c r="G520" s="1177">
        <f t="shared" si="115"/>
        <v>0</v>
      </c>
      <c r="H520" s="1177">
        <f t="shared" si="108"/>
        <v>0</v>
      </c>
      <c r="I520" s="1158">
        <v>0</v>
      </c>
      <c r="J520" s="1158">
        <v>0</v>
      </c>
      <c r="K520" s="1177"/>
      <c r="L520" s="1177"/>
      <c r="M520" s="1177">
        <f t="shared" si="109"/>
        <v>0</v>
      </c>
      <c r="N520" s="1177">
        <f t="shared" si="110"/>
        <v>0</v>
      </c>
      <c r="O520" s="1159">
        <f t="shared" si="116"/>
        <v>0</v>
      </c>
      <c r="P520" s="1014">
        <f t="shared" si="117"/>
        <v>0</v>
      </c>
    </row>
    <row r="521" spans="1:16" ht="31" outlineLevel="1" x14ac:dyDescent="0.25">
      <c r="A521" s="1164">
        <f t="shared" si="113"/>
        <v>14.2</v>
      </c>
      <c r="B521" s="1161" t="str">
        <f t="shared" si="113"/>
        <v>Schme-F: Replacement of 220V / 300AH Float cum boost charger with integrated DCDB for Bhatsa Hydro Power Stn.</v>
      </c>
      <c r="C521" s="1162" t="str">
        <f t="shared" si="113"/>
        <v>MERC/CAPEX/2020-21/WFH/SBR/ 19</v>
      </c>
      <c r="D521" s="1081">
        <f t="shared" si="113"/>
        <v>44029</v>
      </c>
      <c r="E521" s="1163">
        <f t="shared" si="113"/>
        <v>0.17299999999999999</v>
      </c>
      <c r="F521" s="1177">
        <f t="shared" si="114"/>
        <v>0.11446000000000001</v>
      </c>
      <c r="G521" s="1177">
        <f t="shared" si="115"/>
        <v>0.11446000000000001</v>
      </c>
      <c r="H521" s="1177">
        <f t="shared" si="108"/>
        <v>0</v>
      </c>
      <c r="I521" s="1158">
        <v>0</v>
      </c>
      <c r="J521" s="1158">
        <v>0</v>
      </c>
      <c r="K521" s="1177"/>
      <c r="L521" s="1177"/>
      <c r="M521" s="1177">
        <f t="shared" si="109"/>
        <v>0</v>
      </c>
      <c r="N521" s="1177">
        <f t="shared" si="110"/>
        <v>0</v>
      </c>
      <c r="O521" s="1159">
        <f t="shared" si="116"/>
        <v>0</v>
      </c>
      <c r="P521" s="1014">
        <f t="shared" si="117"/>
        <v>0</v>
      </c>
    </row>
    <row r="522" spans="1:16" ht="31" outlineLevel="1" x14ac:dyDescent="0.25">
      <c r="A522" s="1164">
        <f t="shared" si="113"/>
        <v>14.3</v>
      </c>
      <c r="B522" s="1161" t="str">
        <f t="shared" si="113"/>
        <v>Schme-G: Replacement of 220V / 300AH Float cum boost charger with integrated DCDB for Surya Hydro Power Stn.</v>
      </c>
      <c r="C522" s="1162" t="str">
        <f t="shared" si="113"/>
        <v>MERC/CAPEX/2020-21/WFH/SBR/ 19</v>
      </c>
      <c r="D522" s="1081">
        <f t="shared" si="113"/>
        <v>44029</v>
      </c>
      <c r="E522" s="1163">
        <f t="shared" si="113"/>
        <v>0.17299999999999999</v>
      </c>
      <c r="F522" s="1177">
        <f t="shared" si="114"/>
        <v>0.11446000000000001</v>
      </c>
      <c r="G522" s="1177">
        <f t="shared" si="115"/>
        <v>0.11446000000000001</v>
      </c>
      <c r="H522" s="1177">
        <f t="shared" si="108"/>
        <v>0</v>
      </c>
      <c r="I522" s="1158">
        <v>0</v>
      </c>
      <c r="J522" s="1158">
        <v>0</v>
      </c>
      <c r="K522" s="1177"/>
      <c r="L522" s="1177"/>
      <c r="M522" s="1177">
        <f t="shared" si="109"/>
        <v>0</v>
      </c>
      <c r="N522" s="1177">
        <f t="shared" si="110"/>
        <v>0</v>
      </c>
      <c r="O522" s="1159">
        <f t="shared" si="116"/>
        <v>0</v>
      </c>
      <c r="P522" s="1014">
        <f t="shared" si="117"/>
        <v>0</v>
      </c>
    </row>
    <row r="523" spans="1:16" ht="29" outlineLevel="1" x14ac:dyDescent="0.25">
      <c r="A523" s="1164">
        <f t="shared" si="113"/>
        <v>14.4</v>
      </c>
      <c r="B523" s="1161" t="str">
        <f t="shared" si="113"/>
        <v>Schme-H: Supply 24 point Chartless recorder for Bhatsa HPS.</v>
      </c>
      <c r="C523" s="1162" t="str">
        <f t="shared" si="113"/>
        <v>MERC/CAPEX/2020-21/WFH/SBR/ 19</v>
      </c>
      <c r="D523" s="1081">
        <f t="shared" si="113"/>
        <v>44029</v>
      </c>
      <c r="E523" s="1163">
        <f t="shared" si="113"/>
        <v>5.8999999999999997E-2</v>
      </c>
      <c r="F523" s="1177">
        <f t="shared" si="114"/>
        <v>2.02455E-2</v>
      </c>
      <c r="G523" s="1177">
        <f t="shared" si="115"/>
        <v>2.02455E-2</v>
      </c>
      <c r="H523" s="1177">
        <f t="shared" si="108"/>
        <v>0</v>
      </c>
      <c r="I523" s="1158">
        <v>0</v>
      </c>
      <c r="J523" s="1158">
        <v>0</v>
      </c>
      <c r="K523" s="1177"/>
      <c r="L523" s="1177"/>
      <c r="M523" s="1177">
        <f t="shared" si="109"/>
        <v>0</v>
      </c>
      <c r="N523" s="1177">
        <f t="shared" si="110"/>
        <v>0</v>
      </c>
      <c r="O523" s="1159">
        <f t="shared" si="116"/>
        <v>0</v>
      </c>
      <c r="P523" s="1014">
        <f t="shared" si="117"/>
        <v>0</v>
      </c>
    </row>
    <row r="524" spans="1:16" ht="31" outlineLevel="1" x14ac:dyDescent="0.25">
      <c r="A524" s="1164">
        <f t="shared" si="113"/>
        <v>14.5</v>
      </c>
      <c r="B524" s="1161" t="str">
        <f t="shared" si="113"/>
        <v>Schme-I: Supply Erection, testing &amp; commissioning of Digital governing system for 06MW Surya HPS.</v>
      </c>
      <c r="C524" s="1162" t="str">
        <f t="shared" si="113"/>
        <v>MERC/CAPEX/2020-21/WFH/SBR/ 19</v>
      </c>
      <c r="D524" s="1081">
        <f t="shared" si="113"/>
        <v>44029</v>
      </c>
      <c r="E524" s="1163">
        <f t="shared" si="113"/>
        <v>1.954</v>
      </c>
      <c r="F524" s="1177">
        <f t="shared" si="114"/>
        <v>1.954</v>
      </c>
      <c r="G524" s="1177">
        <f t="shared" si="115"/>
        <v>1.954</v>
      </c>
      <c r="H524" s="1177">
        <f t="shared" si="108"/>
        <v>0</v>
      </c>
      <c r="I524" s="1158">
        <v>0</v>
      </c>
      <c r="J524" s="1158">
        <v>0</v>
      </c>
      <c r="K524" s="1177"/>
      <c r="L524" s="1177"/>
      <c r="M524" s="1177">
        <f t="shared" si="109"/>
        <v>0</v>
      </c>
      <c r="N524" s="1177">
        <f t="shared" si="110"/>
        <v>0</v>
      </c>
      <c r="O524" s="1159">
        <f t="shared" si="116"/>
        <v>0</v>
      </c>
      <c r="P524" s="1014">
        <f t="shared" si="117"/>
        <v>0</v>
      </c>
    </row>
    <row r="525" spans="1:16" ht="46.5" outlineLevel="1" x14ac:dyDescent="0.25">
      <c r="A525" s="1164">
        <f t="shared" ref="A525:E540" si="118">A427</f>
        <v>14.6</v>
      </c>
      <c r="B525" s="1161" t="str">
        <f t="shared" si="118"/>
        <v>Schme-J: Supply, Erection, testing &amp; commissioning of Digital governing system and Hydraulic oil pressure unit for 15 MW Bhatsa HPS.</v>
      </c>
      <c r="C525" s="1162" t="str">
        <f t="shared" si="118"/>
        <v>MERC/CAPEX/2020-21/WFH/SBR/ 19</v>
      </c>
      <c r="D525" s="1081">
        <f t="shared" si="118"/>
        <v>44029</v>
      </c>
      <c r="E525" s="1163">
        <f t="shared" si="118"/>
        <v>2.0270000000000001</v>
      </c>
      <c r="F525" s="1177">
        <f t="shared" si="114"/>
        <v>2.0502972000000002</v>
      </c>
      <c r="G525" s="1177">
        <f t="shared" si="115"/>
        <v>1.5936372000000001</v>
      </c>
      <c r="H525" s="1177">
        <f t="shared" si="108"/>
        <v>0.45666000000000007</v>
      </c>
      <c r="I525" s="1158">
        <v>0</v>
      </c>
      <c r="J525" s="1158">
        <v>0</v>
      </c>
      <c r="K525" s="1177"/>
      <c r="L525" s="1177"/>
      <c r="M525" s="1177">
        <f t="shared" si="109"/>
        <v>0</v>
      </c>
      <c r="N525" s="1177">
        <f t="shared" si="110"/>
        <v>0.45666000000000007</v>
      </c>
      <c r="O525" s="1159">
        <f t="shared" si="116"/>
        <v>0</v>
      </c>
      <c r="P525" s="1014">
        <f t="shared" si="117"/>
        <v>0</v>
      </c>
    </row>
    <row r="526" spans="1:16" ht="31" outlineLevel="1" x14ac:dyDescent="0.25">
      <c r="A526" s="1164">
        <f t="shared" si="118"/>
        <v>14.7</v>
      </c>
      <c r="B526" s="1161" t="str">
        <f t="shared" si="118"/>
        <v>Schme-K: Supply, Retrofitting, up gradation, Commissioning of Generator protection system at Paithan HPS.</v>
      </c>
      <c r="C526" s="1162" t="str">
        <f t="shared" si="118"/>
        <v>MERC/CAPEX/2020-21/WFH/SBR/ 19</v>
      </c>
      <c r="D526" s="1081">
        <f t="shared" si="118"/>
        <v>44029</v>
      </c>
      <c r="E526" s="1163">
        <f t="shared" si="118"/>
        <v>0.87</v>
      </c>
      <c r="F526" s="1177">
        <f t="shared" si="114"/>
        <v>0.87</v>
      </c>
      <c r="G526" s="1177">
        <f t="shared" si="115"/>
        <v>0.87</v>
      </c>
      <c r="H526" s="1177">
        <f t="shared" si="108"/>
        <v>0</v>
      </c>
      <c r="I526" s="1158">
        <v>0</v>
      </c>
      <c r="J526" s="1158">
        <v>0</v>
      </c>
      <c r="K526" s="1177"/>
      <c r="L526" s="1177"/>
      <c r="M526" s="1177">
        <f t="shared" si="109"/>
        <v>0</v>
      </c>
      <c r="N526" s="1177">
        <f t="shared" si="110"/>
        <v>0</v>
      </c>
      <c r="O526" s="1159">
        <f t="shared" si="116"/>
        <v>0</v>
      </c>
      <c r="P526" s="1014">
        <f t="shared" si="117"/>
        <v>0</v>
      </c>
    </row>
    <row r="527" spans="1:16" ht="31" outlineLevel="1" x14ac:dyDescent="0.25">
      <c r="A527" s="1164">
        <f t="shared" si="118"/>
        <v>14.8</v>
      </c>
      <c r="B527" s="1161" t="str">
        <f t="shared" si="118"/>
        <v>Schme-L: Replacement of existing compressor with new compressor (1 Nos.) at Paithan HPS</v>
      </c>
      <c r="C527" s="1162" t="str">
        <f t="shared" si="118"/>
        <v>MERC/CAPEX/2020-21/WFH/SBR/ 19</v>
      </c>
      <c r="D527" s="1081">
        <f t="shared" si="118"/>
        <v>44029</v>
      </c>
      <c r="E527" s="1163">
        <f t="shared" si="118"/>
        <v>0.46700000000000003</v>
      </c>
      <c r="F527" s="1177">
        <f t="shared" si="114"/>
        <v>0.46700000000000003</v>
      </c>
      <c r="G527" s="1177">
        <f t="shared" si="115"/>
        <v>0.46700000000000003</v>
      </c>
      <c r="H527" s="1177">
        <f t="shared" si="108"/>
        <v>0</v>
      </c>
      <c r="I527" s="1158">
        <v>0</v>
      </c>
      <c r="J527" s="1158">
        <v>0</v>
      </c>
      <c r="K527" s="1177"/>
      <c r="L527" s="1177"/>
      <c r="M527" s="1177">
        <f t="shared" si="109"/>
        <v>0</v>
      </c>
      <c r="N527" s="1177">
        <f t="shared" si="110"/>
        <v>0</v>
      </c>
      <c r="O527" s="1159">
        <f t="shared" si="116"/>
        <v>0</v>
      </c>
      <c r="P527" s="1014">
        <f t="shared" si="117"/>
        <v>0</v>
      </c>
    </row>
    <row r="528" spans="1:16" ht="46.5" outlineLevel="1" x14ac:dyDescent="0.25">
      <c r="A528" s="1164">
        <f t="shared" si="118"/>
        <v>14.9</v>
      </c>
      <c r="B528" s="1161" t="str">
        <f t="shared" si="118"/>
        <v>Schme-M: Retrofitting, up gradation &amp; Commissioning of Protection System for Generator, Transformer and Line at Surya Hydro Power Station</v>
      </c>
      <c r="C528" s="1162" t="str">
        <f t="shared" si="118"/>
        <v>MERC/CAPEX/2020-21/WFH/SBR/ 19</v>
      </c>
      <c r="D528" s="1081">
        <f t="shared" si="118"/>
        <v>44029</v>
      </c>
      <c r="E528" s="1163">
        <f t="shared" si="118"/>
        <v>0.69100000000000006</v>
      </c>
      <c r="F528" s="1177">
        <f t="shared" si="114"/>
        <v>0.69730939999999997</v>
      </c>
      <c r="G528" s="1177">
        <f t="shared" si="115"/>
        <v>0.68498999999999999</v>
      </c>
      <c r="H528" s="1177">
        <f t="shared" si="108"/>
        <v>1.231939999999998E-2</v>
      </c>
      <c r="I528" s="1158">
        <v>0</v>
      </c>
      <c r="J528" s="1158">
        <v>0</v>
      </c>
      <c r="K528" s="1177"/>
      <c r="L528" s="1177"/>
      <c r="M528" s="1177">
        <f t="shared" si="109"/>
        <v>0</v>
      </c>
      <c r="N528" s="1177">
        <f t="shared" si="110"/>
        <v>1.231939999999998E-2</v>
      </c>
      <c r="O528" s="1159">
        <f t="shared" si="116"/>
        <v>0</v>
      </c>
      <c r="P528" s="1014">
        <f t="shared" si="117"/>
        <v>0</v>
      </c>
    </row>
    <row r="529" spans="1:16" ht="31" outlineLevel="1" x14ac:dyDescent="0.25">
      <c r="A529" s="1165">
        <f t="shared" si="118"/>
        <v>14.1</v>
      </c>
      <c r="B529" s="1161" t="str">
        <f t="shared" si="118"/>
        <v>Schme-N: Procurement of Static excitation system at Surya Hydro Power Station.</v>
      </c>
      <c r="C529" s="1162" t="str">
        <f t="shared" si="118"/>
        <v>MERC/CAPEX/2020-21/WFH/SBR/ 19</v>
      </c>
      <c r="D529" s="1081">
        <f t="shared" si="118"/>
        <v>44029</v>
      </c>
      <c r="E529" s="1163">
        <f t="shared" si="118"/>
        <v>1.5469999999999999</v>
      </c>
      <c r="F529" s="1177">
        <f t="shared" si="114"/>
        <v>1.5469999999999999</v>
      </c>
      <c r="G529" s="1177">
        <f t="shared" si="115"/>
        <v>1.5469999999999999</v>
      </c>
      <c r="H529" s="1177">
        <f t="shared" si="108"/>
        <v>0</v>
      </c>
      <c r="I529" s="1158">
        <v>0</v>
      </c>
      <c r="J529" s="1158">
        <v>0</v>
      </c>
      <c r="K529" s="1177"/>
      <c r="L529" s="1177"/>
      <c r="M529" s="1177">
        <f t="shared" si="109"/>
        <v>0</v>
      </c>
      <c r="N529" s="1177">
        <f t="shared" si="110"/>
        <v>0</v>
      </c>
      <c r="O529" s="1159">
        <f t="shared" si="116"/>
        <v>0</v>
      </c>
      <c r="P529" s="1014">
        <f t="shared" si="117"/>
        <v>0</v>
      </c>
    </row>
    <row r="530" spans="1:16" ht="29" outlineLevel="1" x14ac:dyDescent="0.25">
      <c r="A530" s="1160">
        <f t="shared" si="118"/>
        <v>0</v>
      </c>
      <c r="B530" s="1161" t="str">
        <f t="shared" si="118"/>
        <v>IDC</v>
      </c>
      <c r="C530" s="1162" t="str">
        <f t="shared" si="118"/>
        <v>MERC/CAPEX/2020-21/WFH/SBR/ 19</v>
      </c>
      <c r="D530" s="1081">
        <f t="shared" si="118"/>
        <v>44029</v>
      </c>
      <c r="E530" s="1163">
        <f t="shared" si="118"/>
        <v>0.85</v>
      </c>
      <c r="F530" s="1177">
        <f t="shared" si="114"/>
        <v>0</v>
      </c>
      <c r="G530" s="1177">
        <f t="shared" si="115"/>
        <v>0</v>
      </c>
      <c r="H530" s="1177">
        <f t="shared" si="108"/>
        <v>0</v>
      </c>
      <c r="I530" s="1158">
        <v>0</v>
      </c>
      <c r="J530" s="1158">
        <v>0</v>
      </c>
      <c r="K530" s="1177"/>
      <c r="L530" s="1177"/>
      <c r="M530" s="1177">
        <f t="shared" si="109"/>
        <v>0</v>
      </c>
      <c r="N530" s="1177">
        <f t="shared" si="110"/>
        <v>0</v>
      </c>
      <c r="O530" s="1159">
        <f t="shared" si="116"/>
        <v>0</v>
      </c>
      <c r="P530" s="1014">
        <f t="shared" si="117"/>
        <v>0</v>
      </c>
    </row>
    <row r="531" spans="1:16" ht="15.5" outlineLevel="1" x14ac:dyDescent="0.25">
      <c r="A531" s="1160">
        <f t="shared" si="118"/>
        <v>0</v>
      </c>
      <c r="B531" s="1161">
        <f t="shared" si="118"/>
        <v>0</v>
      </c>
      <c r="C531" s="984">
        <f t="shared" si="118"/>
        <v>0</v>
      </c>
      <c r="D531" s="1081" t="str">
        <f t="shared" si="118"/>
        <v>-</v>
      </c>
      <c r="E531" s="1178">
        <f t="shared" si="118"/>
        <v>0</v>
      </c>
      <c r="F531" s="1179">
        <f t="shared" si="114"/>
        <v>0</v>
      </c>
      <c r="G531" s="1179">
        <f t="shared" si="115"/>
        <v>0</v>
      </c>
      <c r="H531" s="1179">
        <f t="shared" si="108"/>
        <v>0</v>
      </c>
      <c r="I531" s="1158">
        <v>0</v>
      </c>
      <c r="J531" s="1158">
        <v>0</v>
      </c>
      <c r="K531" s="1179"/>
      <c r="L531" s="1179"/>
      <c r="M531" s="1179">
        <f t="shared" si="109"/>
        <v>0</v>
      </c>
      <c r="N531" s="1179">
        <f t="shared" si="110"/>
        <v>0</v>
      </c>
      <c r="O531" s="1159">
        <f t="shared" si="116"/>
        <v>0</v>
      </c>
      <c r="P531" s="1014">
        <f t="shared" si="117"/>
        <v>0</v>
      </c>
    </row>
    <row r="532" spans="1:16" ht="15.5" outlineLevel="1" x14ac:dyDescent="0.25">
      <c r="A532" s="1047">
        <f t="shared" si="118"/>
        <v>0</v>
      </c>
      <c r="B532" s="1150" t="str">
        <f t="shared" si="118"/>
        <v>Yet to be approved by MERC (F Y 2024-25)</v>
      </c>
      <c r="C532" s="984">
        <f t="shared" si="118"/>
        <v>0</v>
      </c>
      <c r="D532" s="1081" t="str">
        <f t="shared" si="118"/>
        <v>-</v>
      </c>
      <c r="E532" s="1178">
        <f t="shared" si="118"/>
        <v>0</v>
      </c>
      <c r="F532" s="1179">
        <f t="shared" si="114"/>
        <v>0</v>
      </c>
      <c r="G532" s="1179">
        <f t="shared" si="115"/>
        <v>0</v>
      </c>
      <c r="H532" s="1179">
        <f t="shared" si="108"/>
        <v>0</v>
      </c>
      <c r="I532" s="1158">
        <v>0</v>
      </c>
      <c r="J532" s="1158">
        <v>0</v>
      </c>
      <c r="K532" s="1179"/>
      <c r="L532" s="1179"/>
      <c r="M532" s="1179">
        <f t="shared" si="109"/>
        <v>0</v>
      </c>
      <c r="N532" s="1179">
        <f t="shared" si="110"/>
        <v>0</v>
      </c>
    </row>
    <row r="533" spans="1:16" ht="46.5" outlineLevel="1" x14ac:dyDescent="0.25">
      <c r="A533" s="1044">
        <f t="shared" si="118"/>
        <v>1</v>
      </c>
      <c r="B533" s="1169" t="str">
        <f t="shared" si="118"/>
        <v xml:space="preserve">Post-facto DPR for “Urgent restoration and Life Enhancement
of Unit-1, 125MW M/s Fuji make Hydro Generator for
prolonged efficient operation at Ghatghar HPS                                            </v>
      </c>
      <c r="C533" s="1155">
        <f t="shared" si="118"/>
        <v>0</v>
      </c>
      <c r="D533" s="1156" t="str">
        <f t="shared" si="118"/>
        <v>-</v>
      </c>
      <c r="E533" s="1157">
        <f t="shared" si="118"/>
        <v>0</v>
      </c>
      <c r="F533" s="1180">
        <f t="shared" si="114"/>
        <v>14.34</v>
      </c>
      <c r="G533" s="1180">
        <f t="shared" si="115"/>
        <v>14.34</v>
      </c>
      <c r="H533" s="1180">
        <f t="shared" si="108"/>
        <v>0</v>
      </c>
      <c r="I533" s="1158">
        <v>0</v>
      </c>
      <c r="J533" s="1158">
        <v>0</v>
      </c>
      <c r="K533" s="1180"/>
      <c r="L533" s="1180"/>
      <c r="M533" s="1180">
        <f t="shared" si="109"/>
        <v>0</v>
      </c>
      <c r="N533" s="1180">
        <f t="shared" si="110"/>
        <v>0</v>
      </c>
    </row>
    <row r="534" spans="1:16" ht="31" outlineLevel="1" x14ac:dyDescent="0.25">
      <c r="A534" s="1044">
        <f t="shared" si="118"/>
        <v>2</v>
      </c>
      <c r="B534" s="1169" t="str">
        <f t="shared" si="118"/>
        <v>Dismantling and assembly of Unit-2 stator and other allied works at Ghatghar HPS</v>
      </c>
      <c r="C534" s="1162">
        <f t="shared" si="118"/>
        <v>0</v>
      </c>
      <c r="D534" s="1081" t="str">
        <f t="shared" si="118"/>
        <v>-</v>
      </c>
      <c r="E534" s="1163">
        <f t="shared" si="118"/>
        <v>0</v>
      </c>
      <c r="F534" s="1177">
        <f t="shared" si="114"/>
        <v>0.92</v>
      </c>
      <c r="G534" s="1177">
        <f t="shared" si="115"/>
        <v>0.92</v>
      </c>
      <c r="H534" s="1177">
        <f t="shared" si="108"/>
        <v>0</v>
      </c>
      <c r="I534" s="1158">
        <v>0</v>
      </c>
      <c r="J534" s="1158">
        <v>0</v>
      </c>
      <c r="K534" s="1177"/>
      <c r="L534" s="1177"/>
      <c r="M534" s="1177">
        <f t="shared" si="109"/>
        <v>0</v>
      </c>
      <c r="N534" s="1177">
        <f t="shared" si="110"/>
        <v>0</v>
      </c>
    </row>
    <row r="535" spans="1:16" ht="46.5" outlineLevel="1" x14ac:dyDescent="0.25">
      <c r="A535" s="1044">
        <f t="shared" si="118"/>
        <v>3</v>
      </c>
      <c r="B535" s="1169" t="str">
        <f t="shared" si="118"/>
        <v>Urgent restoration and Life Enhancement of Unit-2, 125MW M/s Fuji make Hydro Generator for prolonged efficient operation at Ghatghar HPS</v>
      </c>
      <c r="C535" s="1162">
        <f t="shared" si="118"/>
        <v>0</v>
      </c>
      <c r="D535" s="1081" t="str">
        <f t="shared" si="118"/>
        <v>-</v>
      </c>
      <c r="E535" s="1163">
        <f t="shared" si="118"/>
        <v>0</v>
      </c>
      <c r="F535" s="1177">
        <f t="shared" si="114"/>
        <v>12.69</v>
      </c>
      <c r="G535" s="1177">
        <f t="shared" si="115"/>
        <v>12.69</v>
      </c>
      <c r="H535" s="1177">
        <f t="shared" si="108"/>
        <v>0</v>
      </c>
      <c r="I535" s="1158">
        <v>0</v>
      </c>
      <c r="J535" s="1158">
        <v>0</v>
      </c>
      <c r="K535" s="1177"/>
      <c r="L535" s="1177"/>
      <c r="M535" s="1177">
        <f t="shared" si="109"/>
        <v>0</v>
      </c>
      <c r="N535" s="1177">
        <f t="shared" si="110"/>
        <v>0</v>
      </c>
    </row>
    <row r="536" spans="1:16" ht="31" outlineLevel="1" x14ac:dyDescent="0.25">
      <c r="A536" s="1168">
        <f t="shared" si="118"/>
        <v>4</v>
      </c>
      <c r="B536" s="1169" t="str">
        <f t="shared" si="118"/>
        <v>Work of unit 2 stator core top lamination replacement work of GHPS</v>
      </c>
      <c r="C536" s="1162">
        <f t="shared" si="118"/>
        <v>0</v>
      </c>
      <c r="D536" s="1081" t="str">
        <f t="shared" si="118"/>
        <v>-</v>
      </c>
      <c r="E536" s="1163">
        <f t="shared" si="118"/>
        <v>0</v>
      </c>
      <c r="F536" s="1177">
        <f t="shared" si="114"/>
        <v>1.57</v>
      </c>
      <c r="G536" s="1177">
        <f t="shared" si="115"/>
        <v>1.57</v>
      </c>
      <c r="H536" s="1177">
        <f t="shared" si="108"/>
        <v>0</v>
      </c>
      <c r="I536" s="1158">
        <v>0</v>
      </c>
      <c r="J536" s="1158">
        <v>0</v>
      </c>
      <c r="K536" s="1177"/>
      <c r="L536" s="1177"/>
      <c r="M536" s="1177">
        <f t="shared" si="109"/>
        <v>0</v>
      </c>
      <c r="N536" s="1177">
        <f t="shared" si="110"/>
        <v>0</v>
      </c>
    </row>
    <row r="537" spans="1:16" ht="15.5" outlineLevel="1" x14ac:dyDescent="0.25">
      <c r="A537" s="1011">
        <f t="shared" si="118"/>
        <v>0</v>
      </c>
      <c r="B537" s="1150" t="str">
        <f t="shared" si="118"/>
        <v>(ii) Yet to be submitted to MERC(F Y 2025-26)</v>
      </c>
      <c r="C537" s="1162">
        <f t="shared" si="118"/>
        <v>0</v>
      </c>
      <c r="D537" s="1081" t="str">
        <f t="shared" si="118"/>
        <v>-</v>
      </c>
      <c r="E537" s="1163">
        <f t="shared" si="118"/>
        <v>0</v>
      </c>
      <c r="F537" s="1177">
        <f t="shared" si="114"/>
        <v>0</v>
      </c>
      <c r="G537" s="1177">
        <f t="shared" si="115"/>
        <v>0</v>
      </c>
      <c r="H537" s="1177">
        <f t="shared" si="108"/>
        <v>0</v>
      </c>
      <c r="I537" s="1158">
        <v>0</v>
      </c>
      <c r="J537" s="1158">
        <v>0</v>
      </c>
      <c r="K537" s="1177"/>
      <c r="L537" s="1177"/>
      <c r="M537" s="1177">
        <f t="shared" si="109"/>
        <v>0</v>
      </c>
      <c r="N537" s="1177">
        <f t="shared" si="110"/>
        <v>0</v>
      </c>
    </row>
    <row r="538" spans="1:16" ht="15.5" outlineLevel="1" x14ac:dyDescent="0.25">
      <c r="A538" s="1011">
        <f t="shared" si="118"/>
        <v>0</v>
      </c>
      <c r="B538" s="1150" t="str">
        <f t="shared" si="118"/>
        <v>DPR 1</v>
      </c>
      <c r="C538" s="1162">
        <f t="shared" si="118"/>
        <v>0</v>
      </c>
      <c r="D538" s="1081" t="str">
        <f t="shared" si="118"/>
        <v>-</v>
      </c>
      <c r="E538" s="1163">
        <f t="shared" si="118"/>
        <v>0</v>
      </c>
      <c r="F538" s="1177">
        <f t="shared" si="114"/>
        <v>0</v>
      </c>
      <c r="G538" s="1177">
        <f t="shared" si="115"/>
        <v>0</v>
      </c>
      <c r="H538" s="1177">
        <f t="shared" si="108"/>
        <v>0</v>
      </c>
      <c r="I538" s="1158">
        <v>0</v>
      </c>
      <c r="J538" s="1158">
        <v>0</v>
      </c>
      <c r="K538" s="1177"/>
      <c r="L538" s="1177"/>
      <c r="M538" s="1177">
        <f t="shared" si="109"/>
        <v>0</v>
      </c>
      <c r="N538" s="1177">
        <f t="shared" si="110"/>
        <v>0</v>
      </c>
    </row>
    <row r="539" spans="1:16" ht="31" outlineLevel="1" x14ac:dyDescent="0.25">
      <c r="A539" s="1160">
        <f t="shared" si="118"/>
        <v>1</v>
      </c>
      <c r="B539" s="1169" t="str">
        <f t="shared" si="118"/>
        <v xml:space="preserve">Procurement &amp; commissioning of Battery bank, 55 cells of 2V  2035AH YHP39 Exide make at Ghatghar HPS </v>
      </c>
      <c r="C539" s="1162">
        <f t="shared" si="118"/>
        <v>0</v>
      </c>
      <c r="D539" s="1081" t="str">
        <f t="shared" si="118"/>
        <v>-</v>
      </c>
      <c r="E539" s="1163">
        <f t="shared" si="118"/>
        <v>0</v>
      </c>
      <c r="F539" s="1177">
        <f t="shared" si="114"/>
        <v>1.25</v>
      </c>
      <c r="G539" s="1177">
        <f t="shared" si="115"/>
        <v>1.25</v>
      </c>
      <c r="H539" s="1177">
        <f t="shared" si="108"/>
        <v>0</v>
      </c>
      <c r="I539" s="1158">
        <v>0</v>
      </c>
      <c r="J539" s="1158">
        <v>0</v>
      </c>
      <c r="K539" s="1177"/>
      <c r="L539" s="1177"/>
      <c r="M539" s="1177">
        <f t="shared" si="109"/>
        <v>0</v>
      </c>
      <c r="N539" s="1177">
        <f t="shared" si="110"/>
        <v>0</v>
      </c>
    </row>
    <row r="540" spans="1:16" ht="31" outlineLevel="1" x14ac:dyDescent="0.25">
      <c r="A540" s="1160">
        <f t="shared" si="118"/>
        <v>2</v>
      </c>
      <c r="B540" s="1169" t="str">
        <f t="shared" si="118"/>
        <v xml:space="preserve">Complete refurbishment of Stator frame , core &amp; winding of 01 No generator stator at Ghatghar HPS. </v>
      </c>
      <c r="C540" s="1162">
        <f t="shared" si="118"/>
        <v>0</v>
      </c>
      <c r="D540" s="1081" t="str">
        <f t="shared" si="118"/>
        <v>-</v>
      </c>
      <c r="E540" s="1163">
        <f t="shared" si="118"/>
        <v>0</v>
      </c>
      <c r="F540" s="1177">
        <f t="shared" si="114"/>
        <v>23.9</v>
      </c>
      <c r="G540" s="1177">
        <f t="shared" si="115"/>
        <v>23.9</v>
      </c>
      <c r="H540" s="1177">
        <f t="shared" si="108"/>
        <v>0</v>
      </c>
      <c r="I540" s="1158">
        <v>0</v>
      </c>
      <c r="J540" s="1158">
        <v>0</v>
      </c>
      <c r="K540" s="1177"/>
      <c r="L540" s="1177"/>
      <c r="M540" s="1177">
        <f t="shared" si="109"/>
        <v>0</v>
      </c>
      <c r="N540" s="1177">
        <f t="shared" si="110"/>
        <v>0</v>
      </c>
    </row>
    <row r="541" spans="1:16" ht="15.5" outlineLevel="1" x14ac:dyDescent="0.25">
      <c r="A541" s="1160">
        <f t="shared" ref="A541:E556" si="119">A443</f>
        <v>3</v>
      </c>
      <c r="B541" s="1169" t="str">
        <f t="shared" si="119"/>
        <v xml:space="preserve">Generator Circuit breaker Electrical OH at Ghatghar HPS. </v>
      </c>
      <c r="C541" s="1162">
        <f t="shared" si="119"/>
        <v>0</v>
      </c>
      <c r="D541" s="1156" t="str">
        <f t="shared" si="119"/>
        <v>-</v>
      </c>
      <c r="E541" s="1157">
        <f t="shared" si="119"/>
        <v>0</v>
      </c>
      <c r="F541" s="1180">
        <f t="shared" si="114"/>
        <v>7.2</v>
      </c>
      <c r="G541" s="1180">
        <f t="shared" si="115"/>
        <v>7.2</v>
      </c>
      <c r="H541" s="1180">
        <f t="shared" si="108"/>
        <v>0</v>
      </c>
      <c r="I541" s="1158">
        <v>0</v>
      </c>
      <c r="J541" s="1158">
        <v>0</v>
      </c>
      <c r="K541" s="1180"/>
      <c r="L541" s="1180"/>
      <c r="M541" s="1180">
        <f t="shared" si="109"/>
        <v>0</v>
      </c>
      <c r="N541" s="1180">
        <f t="shared" si="110"/>
        <v>0</v>
      </c>
    </row>
    <row r="542" spans="1:16" ht="15.5" outlineLevel="1" x14ac:dyDescent="0.25">
      <c r="A542" s="1160">
        <f t="shared" si="119"/>
        <v>4</v>
      </c>
      <c r="B542" s="1169" t="str">
        <f t="shared" si="119"/>
        <v xml:space="preserve">Water filter treatment plant and pipeline at Ghatghar HPS. </v>
      </c>
      <c r="C542" s="1162">
        <f t="shared" si="119"/>
        <v>0</v>
      </c>
      <c r="D542" s="1081" t="str">
        <f t="shared" si="119"/>
        <v>-</v>
      </c>
      <c r="E542" s="1163">
        <f t="shared" si="119"/>
        <v>0</v>
      </c>
      <c r="F542" s="1177">
        <f t="shared" si="114"/>
        <v>1.25</v>
      </c>
      <c r="G542" s="1177">
        <f t="shared" si="115"/>
        <v>1.25</v>
      </c>
      <c r="H542" s="1177">
        <f t="shared" si="108"/>
        <v>0</v>
      </c>
      <c r="I542" s="1158">
        <v>0</v>
      </c>
      <c r="J542" s="1158">
        <v>0</v>
      </c>
      <c r="K542" s="1177"/>
      <c r="L542" s="1177"/>
      <c r="M542" s="1177">
        <f t="shared" si="109"/>
        <v>0</v>
      </c>
      <c r="N542" s="1177">
        <f t="shared" si="110"/>
        <v>0</v>
      </c>
    </row>
    <row r="543" spans="1:16" ht="15.5" outlineLevel="1" x14ac:dyDescent="0.25">
      <c r="A543" s="1160">
        <f t="shared" si="119"/>
        <v>0</v>
      </c>
      <c r="B543" s="1150" t="str">
        <f t="shared" si="119"/>
        <v>DPR 2</v>
      </c>
      <c r="C543" s="1162">
        <f t="shared" si="119"/>
        <v>0</v>
      </c>
      <c r="D543" s="1081" t="str">
        <f t="shared" si="119"/>
        <v>-</v>
      </c>
      <c r="E543" s="1163">
        <f t="shared" si="119"/>
        <v>0</v>
      </c>
      <c r="F543" s="1177">
        <f t="shared" si="114"/>
        <v>0</v>
      </c>
      <c r="G543" s="1177">
        <f t="shared" si="115"/>
        <v>0</v>
      </c>
      <c r="H543" s="1177">
        <f t="shared" si="108"/>
        <v>0</v>
      </c>
      <c r="I543" s="1158">
        <v>0</v>
      </c>
      <c r="J543" s="1158">
        <v>0</v>
      </c>
      <c r="K543" s="1177"/>
      <c r="L543" s="1177"/>
      <c r="M543" s="1177">
        <f t="shared" si="109"/>
        <v>0</v>
      </c>
      <c r="N543" s="1177">
        <f t="shared" si="110"/>
        <v>0</v>
      </c>
    </row>
    <row r="544" spans="1:16" ht="31" outlineLevel="1" x14ac:dyDescent="0.25">
      <c r="A544" s="1011">
        <f t="shared" si="119"/>
        <v>1</v>
      </c>
      <c r="B544" s="1170" t="str">
        <f t="shared" si="119"/>
        <v xml:space="preserve">Design,supply,errection,testing &amp; commissioning of  digital governing system at Paithan HPS.                        </v>
      </c>
      <c r="C544" s="1162">
        <f t="shared" si="119"/>
        <v>0</v>
      </c>
      <c r="D544" s="1081" t="str">
        <f t="shared" si="119"/>
        <v>-</v>
      </c>
      <c r="E544" s="1163">
        <f t="shared" si="119"/>
        <v>0</v>
      </c>
      <c r="F544" s="1177">
        <f t="shared" si="114"/>
        <v>4.5</v>
      </c>
      <c r="G544" s="1177">
        <f t="shared" si="115"/>
        <v>4.5</v>
      </c>
      <c r="H544" s="1177">
        <f t="shared" si="108"/>
        <v>0</v>
      </c>
      <c r="I544" s="1158">
        <v>0</v>
      </c>
      <c r="J544" s="1158">
        <v>0</v>
      </c>
      <c r="K544" s="1177"/>
      <c r="L544" s="1177"/>
      <c r="M544" s="1177">
        <f t="shared" si="109"/>
        <v>0</v>
      </c>
      <c r="N544" s="1177">
        <f t="shared" si="110"/>
        <v>0</v>
      </c>
    </row>
    <row r="545" spans="1:14" ht="31" outlineLevel="1" x14ac:dyDescent="0.25">
      <c r="A545" s="1011">
        <f t="shared" si="119"/>
        <v>2</v>
      </c>
      <c r="B545" s="1169" t="str">
        <f t="shared" si="119"/>
        <v xml:space="preserve">Design,Supply ,testing ,erection and commissioing of DAVR system at Paithan HPS.                                                     </v>
      </c>
      <c r="C545" s="1162">
        <f t="shared" si="119"/>
        <v>0</v>
      </c>
      <c r="D545" s="1081" t="str">
        <f t="shared" si="119"/>
        <v>-</v>
      </c>
      <c r="E545" s="1163">
        <f t="shared" si="119"/>
        <v>0</v>
      </c>
      <c r="F545" s="1177">
        <f t="shared" si="114"/>
        <v>2</v>
      </c>
      <c r="G545" s="1177">
        <f t="shared" si="115"/>
        <v>2</v>
      </c>
      <c r="H545" s="1177">
        <f t="shared" si="108"/>
        <v>0</v>
      </c>
      <c r="I545" s="1158">
        <v>0</v>
      </c>
      <c r="J545" s="1158">
        <v>0</v>
      </c>
      <c r="K545" s="1177"/>
      <c r="L545" s="1177"/>
      <c r="M545" s="1177">
        <f t="shared" si="109"/>
        <v>0</v>
      </c>
      <c r="N545" s="1177">
        <f t="shared" si="110"/>
        <v>0</v>
      </c>
    </row>
    <row r="546" spans="1:14" ht="31" outlineLevel="1" x14ac:dyDescent="0.25">
      <c r="A546" s="1011">
        <f t="shared" si="119"/>
        <v>3</v>
      </c>
      <c r="B546" s="1169" t="str">
        <f t="shared" si="119"/>
        <v xml:space="preserve">Design,supply,testing ,erection and commissioing of DCS control system at Paithan HPS.                                                       </v>
      </c>
      <c r="C546" s="1162">
        <f t="shared" si="119"/>
        <v>0</v>
      </c>
      <c r="D546" s="1081" t="str">
        <f t="shared" si="119"/>
        <v>-</v>
      </c>
      <c r="E546" s="1163">
        <f t="shared" si="119"/>
        <v>0</v>
      </c>
      <c r="F546" s="1177">
        <f t="shared" si="114"/>
        <v>1.7</v>
      </c>
      <c r="G546" s="1177">
        <f t="shared" si="115"/>
        <v>1.7</v>
      </c>
      <c r="H546" s="1177">
        <f t="shared" si="108"/>
        <v>0</v>
      </c>
      <c r="I546" s="1158">
        <v>0</v>
      </c>
      <c r="J546" s="1158">
        <v>0</v>
      </c>
      <c r="K546" s="1177"/>
      <c r="L546" s="1177"/>
      <c r="M546" s="1177">
        <f t="shared" si="109"/>
        <v>0</v>
      </c>
      <c r="N546" s="1177">
        <f t="shared" si="110"/>
        <v>0</v>
      </c>
    </row>
    <row r="547" spans="1:14" ht="31" outlineLevel="1" x14ac:dyDescent="0.25">
      <c r="A547" s="1011">
        <f t="shared" si="119"/>
        <v>4</v>
      </c>
      <c r="B547" s="1169" t="str">
        <f t="shared" si="119"/>
        <v xml:space="preserve">Design,supply ,testing ,erection and commissioing of Automated Co2 fire extinguishers system  at Paithan HPS.                                         </v>
      </c>
      <c r="C547" s="1162">
        <f t="shared" si="119"/>
        <v>0</v>
      </c>
      <c r="D547" s="1081" t="str">
        <f t="shared" si="119"/>
        <v>-</v>
      </c>
      <c r="E547" s="1163">
        <f t="shared" si="119"/>
        <v>0</v>
      </c>
      <c r="F547" s="1177">
        <f t="shared" si="114"/>
        <v>0.35</v>
      </c>
      <c r="G547" s="1177">
        <f t="shared" si="115"/>
        <v>0.35</v>
      </c>
      <c r="H547" s="1177">
        <f t="shared" si="108"/>
        <v>0</v>
      </c>
      <c r="I547" s="1158">
        <v>0</v>
      </c>
      <c r="J547" s="1158">
        <v>0</v>
      </c>
      <c r="K547" s="1177"/>
      <c r="L547" s="1177"/>
      <c r="M547" s="1177">
        <f t="shared" si="109"/>
        <v>0</v>
      </c>
      <c r="N547" s="1177">
        <f t="shared" si="110"/>
        <v>0</v>
      </c>
    </row>
    <row r="548" spans="1:14" ht="31" outlineLevel="1" x14ac:dyDescent="0.25">
      <c r="A548" s="1011">
        <f t="shared" si="119"/>
        <v>5</v>
      </c>
      <c r="B548" s="1169" t="str">
        <f t="shared" si="119"/>
        <v xml:space="preserve">Design,Supply ,testing ,erection and commissioing of Numerical protection system at Yeldari HPS.                                        </v>
      </c>
      <c r="C548" s="1162">
        <f t="shared" si="119"/>
        <v>0</v>
      </c>
      <c r="D548" s="1081" t="str">
        <f t="shared" si="119"/>
        <v>-</v>
      </c>
      <c r="E548" s="1163">
        <f t="shared" si="119"/>
        <v>0</v>
      </c>
      <c r="F548" s="1177">
        <f t="shared" si="114"/>
        <v>2.5499999999999998</v>
      </c>
      <c r="G548" s="1177">
        <f t="shared" si="115"/>
        <v>2.5499999999999998</v>
      </c>
      <c r="H548" s="1177">
        <f t="shared" si="108"/>
        <v>0</v>
      </c>
      <c r="I548" s="1158">
        <v>0</v>
      </c>
      <c r="J548" s="1158">
        <v>0</v>
      </c>
      <c r="K548" s="1177"/>
      <c r="L548" s="1177"/>
      <c r="M548" s="1177">
        <f t="shared" si="109"/>
        <v>0</v>
      </c>
      <c r="N548" s="1177">
        <f t="shared" si="110"/>
        <v>0</v>
      </c>
    </row>
    <row r="549" spans="1:14" ht="31" outlineLevel="1" x14ac:dyDescent="0.25">
      <c r="A549" s="1011">
        <f t="shared" si="119"/>
        <v>6</v>
      </c>
      <c r="B549" s="1169" t="str">
        <f t="shared" si="119"/>
        <v xml:space="preserve">Design,Supply ,testing ,erection and commissioing of C&amp;I control &amp; measurement with SCADA at Yeldari HPS.                                                           </v>
      </c>
      <c r="C549" s="1162">
        <f t="shared" si="119"/>
        <v>0</v>
      </c>
      <c r="D549" s="1081" t="str">
        <f t="shared" si="119"/>
        <v>-</v>
      </c>
      <c r="E549" s="1163">
        <f t="shared" si="119"/>
        <v>0</v>
      </c>
      <c r="F549" s="1177">
        <f t="shared" si="114"/>
        <v>1</v>
      </c>
      <c r="G549" s="1177">
        <f t="shared" si="115"/>
        <v>1</v>
      </c>
      <c r="H549" s="1177">
        <f t="shared" si="108"/>
        <v>0</v>
      </c>
      <c r="I549" s="1158">
        <v>0</v>
      </c>
      <c r="J549" s="1158">
        <v>0</v>
      </c>
      <c r="K549" s="1177"/>
      <c r="L549" s="1177"/>
      <c r="M549" s="1177">
        <f t="shared" si="109"/>
        <v>0</v>
      </c>
      <c r="N549" s="1177">
        <f t="shared" si="110"/>
        <v>0</v>
      </c>
    </row>
    <row r="550" spans="1:14" ht="31" outlineLevel="1" x14ac:dyDescent="0.25">
      <c r="A550" s="1011">
        <f t="shared" si="119"/>
        <v>7</v>
      </c>
      <c r="B550" s="1169" t="str">
        <f t="shared" si="119"/>
        <v xml:space="preserve">Design,Supply ,testing ,erection and commissioing of DAVR system at Yeldari HPS                                                        </v>
      </c>
      <c r="C550" s="1162">
        <f t="shared" si="119"/>
        <v>0</v>
      </c>
      <c r="D550" s="1081" t="str">
        <f t="shared" si="119"/>
        <v>-</v>
      </c>
      <c r="E550" s="1163">
        <f t="shared" si="119"/>
        <v>0</v>
      </c>
      <c r="F550" s="1177">
        <f t="shared" si="114"/>
        <v>6</v>
      </c>
      <c r="G550" s="1177">
        <f t="shared" si="115"/>
        <v>6</v>
      </c>
      <c r="H550" s="1177">
        <f t="shared" si="108"/>
        <v>0</v>
      </c>
      <c r="I550" s="1158">
        <v>0</v>
      </c>
      <c r="J550" s="1158">
        <v>0</v>
      </c>
      <c r="K550" s="1177"/>
      <c r="L550" s="1177"/>
      <c r="M550" s="1177">
        <f t="shared" si="109"/>
        <v>0</v>
      </c>
      <c r="N550" s="1177">
        <f t="shared" si="110"/>
        <v>0</v>
      </c>
    </row>
    <row r="551" spans="1:14" ht="31" outlineLevel="1" x14ac:dyDescent="0.25">
      <c r="A551" s="1011">
        <f t="shared" si="119"/>
        <v>8</v>
      </c>
      <c r="B551" s="1169" t="str">
        <f t="shared" si="119"/>
        <v xml:space="preserve">Design,supply,errection,testing &amp; commissioning of  digital governing system at Yeldari HPS.                                           </v>
      </c>
      <c r="C551" s="1162">
        <f t="shared" si="119"/>
        <v>0</v>
      </c>
      <c r="D551" s="1081" t="str">
        <f t="shared" si="119"/>
        <v>-</v>
      </c>
      <c r="E551" s="1163">
        <f t="shared" si="119"/>
        <v>0</v>
      </c>
      <c r="F551" s="1177">
        <f t="shared" si="114"/>
        <v>7</v>
      </c>
      <c r="G551" s="1177">
        <f t="shared" si="115"/>
        <v>7</v>
      </c>
      <c r="H551" s="1177">
        <f t="shared" si="108"/>
        <v>0</v>
      </c>
      <c r="I551" s="1158">
        <v>0</v>
      </c>
      <c r="J551" s="1158">
        <v>0</v>
      </c>
      <c r="K551" s="1177"/>
      <c r="L551" s="1177"/>
      <c r="M551" s="1177">
        <f t="shared" si="109"/>
        <v>0</v>
      </c>
      <c r="N551" s="1177">
        <f t="shared" si="110"/>
        <v>0</v>
      </c>
    </row>
    <row r="552" spans="1:14" ht="15.5" outlineLevel="1" x14ac:dyDescent="0.25">
      <c r="A552" s="1168">
        <f t="shared" si="119"/>
        <v>0</v>
      </c>
      <c r="B552" s="1150" t="str">
        <f t="shared" si="119"/>
        <v>DPR 3 (CIVIL)</v>
      </c>
      <c r="C552" s="1162">
        <f t="shared" si="119"/>
        <v>0</v>
      </c>
      <c r="D552" s="1081" t="str">
        <f t="shared" si="119"/>
        <v>-</v>
      </c>
      <c r="E552" s="1163">
        <f t="shared" si="119"/>
        <v>0</v>
      </c>
      <c r="F552" s="1177">
        <f t="shared" si="114"/>
        <v>0</v>
      </c>
      <c r="G552" s="1177">
        <f t="shared" si="115"/>
        <v>0</v>
      </c>
      <c r="H552" s="1177">
        <f t="shared" si="108"/>
        <v>0</v>
      </c>
      <c r="I552" s="1158">
        <v>0</v>
      </c>
      <c r="J552" s="1158">
        <v>0</v>
      </c>
      <c r="K552" s="1177"/>
      <c r="L552" s="1177"/>
      <c r="M552" s="1177">
        <f t="shared" si="109"/>
        <v>0</v>
      </c>
      <c r="N552" s="1177">
        <f t="shared" si="110"/>
        <v>0</v>
      </c>
    </row>
    <row r="553" spans="1:14" ht="31" outlineLevel="1" x14ac:dyDescent="0.25">
      <c r="A553" s="1011">
        <f t="shared" si="119"/>
        <v>1</v>
      </c>
      <c r="B553" s="1169" t="str">
        <f t="shared" si="119"/>
        <v>Fortification and Rock fall protection Measures in Vaitarna Hydro Electric Power Project  Premises ,Tal- Igatpuri , Dist-Nashik.</v>
      </c>
      <c r="C553" s="1162">
        <f t="shared" si="119"/>
        <v>0</v>
      </c>
      <c r="D553" s="1081" t="str">
        <f t="shared" si="119"/>
        <v>-</v>
      </c>
      <c r="E553" s="1163">
        <f t="shared" si="119"/>
        <v>0</v>
      </c>
      <c r="F553" s="1177">
        <f t="shared" si="114"/>
        <v>36.53</v>
      </c>
      <c r="G553" s="1177">
        <f t="shared" si="115"/>
        <v>36.53</v>
      </c>
      <c r="H553" s="1177">
        <f t="shared" si="108"/>
        <v>0</v>
      </c>
      <c r="I553" s="1158">
        <v>0</v>
      </c>
      <c r="J553" s="1158">
        <v>0</v>
      </c>
      <c r="K553" s="1177"/>
      <c r="L553" s="1177"/>
      <c r="M553" s="1177">
        <f t="shared" si="109"/>
        <v>0</v>
      </c>
      <c r="N553" s="1177">
        <f t="shared" si="110"/>
        <v>0</v>
      </c>
    </row>
    <row r="554" spans="1:14" ht="31" outlineLevel="1" x14ac:dyDescent="0.25">
      <c r="A554" s="1011">
        <f t="shared" si="119"/>
        <v>2</v>
      </c>
      <c r="B554" s="1169" t="str">
        <f t="shared" si="119"/>
        <v>Work of construction of Bituminous approach road to Portal Switchyard at Vaitarna HPS.</v>
      </c>
      <c r="C554" s="1162">
        <f t="shared" si="119"/>
        <v>0</v>
      </c>
      <c r="D554" s="1081" t="str">
        <f t="shared" si="119"/>
        <v>-</v>
      </c>
      <c r="E554" s="1163">
        <f t="shared" si="119"/>
        <v>0</v>
      </c>
      <c r="F554" s="1177">
        <f t="shared" si="114"/>
        <v>2.77</v>
      </c>
      <c r="G554" s="1177">
        <f t="shared" si="115"/>
        <v>2.77</v>
      </c>
      <c r="H554" s="1177">
        <f t="shared" si="108"/>
        <v>0</v>
      </c>
      <c r="I554" s="1158">
        <v>0</v>
      </c>
      <c r="J554" s="1158">
        <v>0</v>
      </c>
      <c r="K554" s="1177"/>
      <c r="L554" s="1177"/>
      <c r="M554" s="1177">
        <f t="shared" si="109"/>
        <v>0</v>
      </c>
      <c r="N554" s="1177">
        <f t="shared" si="110"/>
        <v>0</v>
      </c>
    </row>
    <row r="555" spans="1:14" ht="31" outlineLevel="1" x14ac:dyDescent="0.25">
      <c r="A555" s="1011">
        <f t="shared" si="119"/>
        <v>3</v>
      </c>
      <c r="B555" s="1169" t="str">
        <f t="shared" si="119"/>
        <v>Work of construction of Gabion wall structure on down stream of nallah near Tunnel  at Vaitarna HPS.</v>
      </c>
      <c r="C555" s="1162">
        <f t="shared" si="119"/>
        <v>0</v>
      </c>
      <c r="D555" s="1081" t="str">
        <f t="shared" si="119"/>
        <v>-</v>
      </c>
      <c r="E555" s="1163">
        <f t="shared" si="119"/>
        <v>0</v>
      </c>
      <c r="F555" s="1177">
        <f t="shared" si="114"/>
        <v>0.26</v>
      </c>
      <c r="G555" s="1177">
        <f t="shared" si="115"/>
        <v>0.26</v>
      </c>
      <c r="H555" s="1177">
        <f t="shared" si="108"/>
        <v>0</v>
      </c>
      <c r="I555" s="1158">
        <v>0</v>
      </c>
      <c r="J555" s="1158">
        <v>0</v>
      </c>
      <c r="K555" s="1177"/>
      <c r="L555" s="1177"/>
      <c r="M555" s="1177">
        <f t="shared" si="109"/>
        <v>0</v>
      </c>
      <c r="N555" s="1177">
        <f t="shared" si="110"/>
        <v>0</v>
      </c>
    </row>
    <row r="556" spans="1:14" ht="15.5" outlineLevel="1" x14ac:dyDescent="0.25">
      <c r="A556" s="1171">
        <f t="shared" si="119"/>
        <v>0</v>
      </c>
      <c r="B556" s="1150" t="str">
        <f t="shared" si="119"/>
        <v>(ii) Yet to be submitted to MERC(F Y 2026-27)</v>
      </c>
      <c r="C556" s="1162">
        <f t="shared" si="119"/>
        <v>0</v>
      </c>
      <c r="D556" s="1081" t="str">
        <f t="shared" si="119"/>
        <v>-</v>
      </c>
      <c r="E556" s="1163">
        <f t="shared" si="119"/>
        <v>0</v>
      </c>
      <c r="F556" s="1177">
        <f t="shared" si="114"/>
        <v>0</v>
      </c>
      <c r="G556" s="1177">
        <f t="shared" si="115"/>
        <v>0</v>
      </c>
      <c r="H556" s="1177">
        <f t="shared" si="108"/>
        <v>0</v>
      </c>
      <c r="I556" s="1158">
        <v>0</v>
      </c>
      <c r="J556" s="1158">
        <v>0</v>
      </c>
      <c r="K556" s="1177"/>
      <c r="L556" s="1177"/>
      <c r="M556" s="1177">
        <f t="shared" si="109"/>
        <v>0</v>
      </c>
      <c r="N556" s="1177">
        <f t="shared" si="110"/>
        <v>0</v>
      </c>
    </row>
    <row r="557" spans="1:14" ht="15.5" outlineLevel="1" x14ac:dyDescent="0.25">
      <c r="A557" s="1168">
        <f t="shared" ref="A557:E572" si="120">A459</f>
        <v>0</v>
      </c>
      <c r="B557" s="1150" t="str">
        <f t="shared" si="120"/>
        <v>DPR 4</v>
      </c>
      <c r="C557" s="1162">
        <f t="shared" si="120"/>
        <v>0</v>
      </c>
      <c r="D557" s="1081" t="str">
        <f t="shared" si="120"/>
        <v>-</v>
      </c>
      <c r="E557" s="1163">
        <f t="shared" si="120"/>
        <v>0</v>
      </c>
      <c r="F557" s="1177">
        <f t="shared" si="114"/>
        <v>0</v>
      </c>
      <c r="G557" s="1177">
        <f t="shared" si="115"/>
        <v>0</v>
      </c>
      <c r="H557" s="1177">
        <f t="shared" si="108"/>
        <v>0</v>
      </c>
      <c r="I557" s="1158">
        <v>0</v>
      </c>
      <c r="J557" s="1158">
        <v>0</v>
      </c>
      <c r="K557" s="1177"/>
      <c r="L557" s="1177"/>
      <c r="M557" s="1177">
        <f t="shared" si="109"/>
        <v>0</v>
      </c>
      <c r="N557" s="1177">
        <f t="shared" si="110"/>
        <v>0</v>
      </c>
    </row>
    <row r="558" spans="1:14" ht="62" outlineLevel="1" x14ac:dyDescent="0.25">
      <c r="A558" s="1011">
        <f t="shared" si="120"/>
        <v>1</v>
      </c>
      <c r="B558" s="1169" t="str">
        <f t="shared" si="120"/>
        <v xml:space="preserve">Comprehensive work of redesign,manufacture, supply erection, testing &amp; commissioning of Digital Governing, Protection  and control system Consisting of SCADA on single point responsibility at 60 MW Vaitarna HPS.                                                                 </v>
      </c>
      <c r="C558" s="1162">
        <f t="shared" si="120"/>
        <v>0</v>
      </c>
      <c r="D558" s="1081" t="str">
        <f t="shared" si="120"/>
        <v>-</v>
      </c>
      <c r="E558" s="1163">
        <f t="shared" si="120"/>
        <v>0</v>
      </c>
      <c r="F558" s="1177">
        <f t="shared" si="114"/>
        <v>14</v>
      </c>
      <c r="G558" s="1177">
        <f t="shared" si="115"/>
        <v>14</v>
      </c>
      <c r="H558" s="1177">
        <f t="shared" si="108"/>
        <v>0</v>
      </c>
      <c r="I558" s="1158">
        <v>0</v>
      </c>
      <c r="J558" s="1158">
        <v>0</v>
      </c>
      <c r="K558" s="1177"/>
      <c r="L558" s="1177"/>
      <c r="M558" s="1177">
        <f t="shared" si="109"/>
        <v>0</v>
      </c>
      <c r="N558" s="1177">
        <f t="shared" si="110"/>
        <v>0</v>
      </c>
    </row>
    <row r="559" spans="1:14" ht="46.5" outlineLevel="1" x14ac:dyDescent="0.25">
      <c r="A559" s="1011">
        <f t="shared" si="120"/>
        <v>2</v>
      </c>
      <c r="B559" s="1169" t="str">
        <f t="shared" si="120"/>
        <v xml:space="preserve">Comprehensive work of Replacement, Modification,upgradation of cooling water system along with replacement of pipeline,pumps,panel etc at 60 MW Vaitarna HPS.                                           </v>
      </c>
      <c r="C559" s="1162">
        <f t="shared" si="120"/>
        <v>0</v>
      </c>
      <c r="D559" s="1081" t="str">
        <f t="shared" si="120"/>
        <v>-</v>
      </c>
      <c r="E559" s="1163">
        <f t="shared" si="120"/>
        <v>0</v>
      </c>
      <c r="F559" s="1177">
        <f t="shared" si="114"/>
        <v>2.5</v>
      </c>
      <c r="G559" s="1177">
        <f t="shared" si="115"/>
        <v>2.5</v>
      </c>
      <c r="H559" s="1177">
        <f t="shared" si="108"/>
        <v>0</v>
      </c>
      <c r="I559" s="1158">
        <v>0</v>
      </c>
      <c r="J559" s="1158">
        <v>0</v>
      </c>
      <c r="K559" s="1177"/>
      <c r="L559" s="1177"/>
      <c r="M559" s="1177">
        <f t="shared" si="109"/>
        <v>0</v>
      </c>
      <c r="N559" s="1177">
        <f t="shared" si="110"/>
        <v>0</v>
      </c>
    </row>
    <row r="560" spans="1:14" ht="31" outlineLevel="1" x14ac:dyDescent="0.25">
      <c r="A560" s="1011">
        <f t="shared" si="120"/>
        <v>3</v>
      </c>
      <c r="B560" s="1169" t="str">
        <f t="shared" si="120"/>
        <v xml:space="preserve"> Design, Manufacture, Supply, Erection, Testing and commissioning of 1000 KVA UAT &amp; EAT at 60MW Vaitarna HPS.                                                                  </v>
      </c>
      <c r="C560" s="1162">
        <f t="shared" si="120"/>
        <v>0</v>
      </c>
      <c r="D560" s="1081" t="str">
        <f t="shared" si="120"/>
        <v>-</v>
      </c>
      <c r="E560" s="1163">
        <f t="shared" si="120"/>
        <v>0</v>
      </c>
      <c r="F560" s="1177">
        <f t="shared" si="114"/>
        <v>0.6</v>
      </c>
      <c r="G560" s="1177">
        <f t="shared" si="115"/>
        <v>0.6</v>
      </c>
      <c r="H560" s="1177">
        <f t="shared" si="108"/>
        <v>0</v>
      </c>
      <c r="I560" s="1158">
        <v>0</v>
      </c>
      <c r="J560" s="1158">
        <v>0</v>
      </c>
      <c r="K560" s="1177"/>
      <c r="L560" s="1177"/>
      <c r="M560" s="1177">
        <f t="shared" si="109"/>
        <v>0</v>
      </c>
      <c r="N560" s="1177">
        <f t="shared" si="110"/>
        <v>0</v>
      </c>
    </row>
    <row r="561" spans="1:14" ht="31" outlineLevel="1" x14ac:dyDescent="0.25">
      <c r="A561" s="1011">
        <f t="shared" si="120"/>
        <v>4</v>
      </c>
      <c r="B561" s="1169" t="str">
        <f t="shared" si="120"/>
        <v xml:space="preserve">Supply, Erection, Testing &amp; Commissioning of 500 KVA DG set along with cable and changeover system at 60 MW Vaitarna HPS                                          </v>
      </c>
      <c r="C561" s="1162">
        <f t="shared" si="120"/>
        <v>0</v>
      </c>
      <c r="D561" s="1081" t="str">
        <f t="shared" si="120"/>
        <v>-</v>
      </c>
      <c r="E561" s="1163">
        <f t="shared" si="120"/>
        <v>0</v>
      </c>
      <c r="F561" s="1177">
        <f t="shared" si="114"/>
        <v>0.6</v>
      </c>
      <c r="G561" s="1177">
        <f t="shared" si="115"/>
        <v>0.6</v>
      </c>
      <c r="H561" s="1177">
        <f t="shared" si="108"/>
        <v>0</v>
      </c>
      <c r="I561" s="1158">
        <v>0</v>
      </c>
      <c r="J561" s="1158">
        <v>0</v>
      </c>
      <c r="K561" s="1177"/>
      <c r="L561" s="1177"/>
      <c r="M561" s="1177">
        <f t="shared" si="109"/>
        <v>0</v>
      </c>
      <c r="N561" s="1177">
        <f t="shared" si="110"/>
        <v>0</v>
      </c>
    </row>
    <row r="562" spans="1:14" ht="77.5" outlineLevel="1" x14ac:dyDescent="0.25">
      <c r="A562" s="1011">
        <f t="shared" si="120"/>
        <v>5</v>
      </c>
      <c r="B562" s="1169" t="str">
        <f t="shared" si="120"/>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562" s="1162">
        <f t="shared" si="120"/>
        <v>0</v>
      </c>
      <c r="D562" s="1081" t="str">
        <f t="shared" si="120"/>
        <v>-</v>
      </c>
      <c r="E562" s="1163">
        <f t="shared" si="120"/>
        <v>0</v>
      </c>
      <c r="F562" s="1177">
        <f t="shared" si="114"/>
        <v>11</v>
      </c>
      <c r="G562" s="1177">
        <f t="shared" si="115"/>
        <v>11</v>
      </c>
      <c r="H562" s="1177">
        <f t="shared" si="108"/>
        <v>0</v>
      </c>
      <c r="I562" s="1158">
        <v>0</v>
      </c>
      <c r="J562" s="1158">
        <v>0</v>
      </c>
      <c r="K562" s="1177"/>
      <c r="L562" s="1177"/>
      <c r="M562" s="1177">
        <f t="shared" si="109"/>
        <v>0</v>
      </c>
      <c r="N562" s="1177">
        <f t="shared" si="110"/>
        <v>0</v>
      </c>
    </row>
    <row r="563" spans="1:14" ht="15.5" outlineLevel="1" x14ac:dyDescent="0.25">
      <c r="A563" s="1011">
        <f t="shared" si="120"/>
        <v>0</v>
      </c>
      <c r="B563" s="1150" t="str">
        <f t="shared" si="120"/>
        <v>DPR 5</v>
      </c>
      <c r="C563" s="1162">
        <f t="shared" si="120"/>
        <v>0</v>
      </c>
      <c r="D563" s="1081" t="str">
        <f t="shared" si="120"/>
        <v>-</v>
      </c>
      <c r="E563" s="1163">
        <f t="shared" si="120"/>
        <v>0</v>
      </c>
      <c r="F563" s="1177">
        <f t="shared" si="114"/>
        <v>0</v>
      </c>
      <c r="G563" s="1177">
        <f t="shared" si="115"/>
        <v>0</v>
      </c>
      <c r="H563" s="1177">
        <f t="shared" si="108"/>
        <v>0</v>
      </c>
      <c r="I563" s="1158">
        <v>0</v>
      </c>
      <c r="J563" s="1158">
        <v>0</v>
      </c>
      <c r="K563" s="1177"/>
      <c r="L563" s="1177"/>
      <c r="M563" s="1177">
        <f t="shared" si="109"/>
        <v>0</v>
      </c>
      <c r="N563" s="1177">
        <f t="shared" si="110"/>
        <v>0</v>
      </c>
    </row>
    <row r="564" spans="1:14" ht="15.5" outlineLevel="1" x14ac:dyDescent="0.25">
      <c r="A564" s="1011">
        <f t="shared" si="120"/>
        <v>1</v>
      </c>
      <c r="B564" s="1169" t="str">
        <f t="shared" si="120"/>
        <v xml:space="preserve">Upgradation of Insulation class Yeldari HPS                                                       </v>
      </c>
      <c r="C564" s="1162">
        <f t="shared" si="120"/>
        <v>0</v>
      </c>
      <c r="D564" s="1081" t="str">
        <f t="shared" si="120"/>
        <v>-</v>
      </c>
      <c r="E564" s="1163">
        <f t="shared" si="120"/>
        <v>0</v>
      </c>
      <c r="F564" s="1177">
        <f t="shared" si="114"/>
        <v>6</v>
      </c>
      <c r="G564" s="1177">
        <f t="shared" si="115"/>
        <v>6</v>
      </c>
      <c r="H564" s="1177">
        <f t="shared" si="108"/>
        <v>0</v>
      </c>
      <c r="I564" s="1158">
        <v>0</v>
      </c>
      <c r="J564" s="1158">
        <v>0</v>
      </c>
      <c r="K564" s="1177"/>
      <c r="L564" s="1177"/>
      <c r="M564" s="1177">
        <f t="shared" si="109"/>
        <v>0</v>
      </c>
      <c r="N564" s="1177">
        <f t="shared" si="110"/>
        <v>0</v>
      </c>
    </row>
    <row r="565" spans="1:14" ht="77.5" outlineLevel="1" x14ac:dyDescent="0.25">
      <c r="A565" s="1011">
        <f t="shared" si="120"/>
        <v>2</v>
      </c>
      <c r="B565" s="1169" t="str">
        <f t="shared" si="120"/>
        <v xml:space="preserve">Design,Supply ,testing ,erection and commissioing of  with modification of HT power circuit from 66KV to 132 KV by providing 03 Nos GT of 6.6/132 KV capcity 10 MVA with allied compatible aux. equipments  &amp; 01 Aux X`mer  2MVA of 132/11 KV at Yeldari HPS                                                         </v>
      </c>
      <c r="C565" s="1162">
        <f t="shared" si="120"/>
        <v>0</v>
      </c>
      <c r="D565" s="1081" t="str">
        <f t="shared" si="120"/>
        <v>-</v>
      </c>
      <c r="E565" s="1163">
        <f t="shared" si="120"/>
        <v>0</v>
      </c>
      <c r="F565" s="1177">
        <f t="shared" si="114"/>
        <v>10.199999999999999</v>
      </c>
      <c r="G565" s="1177">
        <f t="shared" si="115"/>
        <v>10.199999999999999</v>
      </c>
      <c r="H565" s="1177">
        <f t="shared" si="108"/>
        <v>0</v>
      </c>
      <c r="I565" s="1158">
        <v>0</v>
      </c>
      <c r="J565" s="1158">
        <v>0</v>
      </c>
      <c r="K565" s="1177"/>
      <c r="L565" s="1177"/>
      <c r="M565" s="1177">
        <f t="shared" si="109"/>
        <v>0</v>
      </c>
      <c r="N565" s="1177">
        <f t="shared" si="110"/>
        <v>0</v>
      </c>
    </row>
    <row r="566" spans="1:14" ht="46.5" outlineLevel="1" x14ac:dyDescent="0.25">
      <c r="A566" s="1011">
        <f t="shared" si="120"/>
        <v>3</v>
      </c>
      <c r="B566" s="1169" t="str">
        <f t="shared" si="120"/>
        <v xml:space="preserve">Design,supply ,testing ,erection and commissioing of Automated Co2 fire extinguishers system including supply of Co2 cylinder banks,detectors accessories and associated work at Yeldari HPS                                          </v>
      </c>
      <c r="C566" s="1162">
        <f t="shared" si="120"/>
        <v>0</v>
      </c>
      <c r="D566" s="1081" t="str">
        <f t="shared" si="120"/>
        <v>-</v>
      </c>
      <c r="E566" s="1163">
        <f t="shared" si="120"/>
        <v>0</v>
      </c>
      <c r="F566" s="1177">
        <f t="shared" si="114"/>
        <v>0.6</v>
      </c>
      <c r="G566" s="1177">
        <f t="shared" si="115"/>
        <v>0.6</v>
      </c>
      <c r="H566" s="1177">
        <f t="shared" si="108"/>
        <v>0</v>
      </c>
      <c r="I566" s="1158">
        <v>0</v>
      </c>
      <c r="J566" s="1158">
        <v>0</v>
      </c>
      <c r="K566" s="1177"/>
      <c r="L566" s="1177"/>
      <c r="M566" s="1177">
        <f t="shared" si="109"/>
        <v>0</v>
      </c>
      <c r="N566" s="1177">
        <f t="shared" si="110"/>
        <v>0</v>
      </c>
    </row>
    <row r="567" spans="1:14" ht="46.5" outlineLevel="1" x14ac:dyDescent="0.25">
      <c r="A567" s="1011">
        <f t="shared" si="120"/>
        <v>4</v>
      </c>
      <c r="B567" s="1169" t="str">
        <f t="shared" si="120"/>
        <v xml:space="preserve"> Design,supply ,testing ,erection and commissioing of UAT capacity 250 KVA ration 6.6KV/415V with ACDB, DCDB , auto change over system                                </v>
      </c>
      <c r="C567" s="1162">
        <f t="shared" si="120"/>
        <v>0</v>
      </c>
      <c r="D567" s="1081" t="str">
        <f t="shared" si="120"/>
        <v>-</v>
      </c>
      <c r="E567" s="1163">
        <f t="shared" si="120"/>
        <v>0</v>
      </c>
      <c r="F567" s="1177">
        <f t="shared" si="114"/>
        <v>3</v>
      </c>
      <c r="G567" s="1177">
        <f t="shared" si="115"/>
        <v>3</v>
      </c>
      <c r="H567" s="1177">
        <f t="shared" si="108"/>
        <v>0</v>
      </c>
      <c r="I567" s="1158">
        <v>0</v>
      </c>
      <c r="J567" s="1158">
        <v>0</v>
      </c>
      <c r="K567" s="1177"/>
      <c r="L567" s="1177"/>
      <c r="M567" s="1177">
        <f t="shared" si="109"/>
        <v>0</v>
      </c>
      <c r="N567" s="1177">
        <f t="shared" si="110"/>
        <v>0</v>
      </c>
    </row>
    <row r="568" spans="1:14" ht="31" outlineLevel="1" x14ac:dyDescent="0.25">
      <c r="A568" s="1011">
        <f t="shared" si="120"/>
        <v>5</v>
      </c>
      <c r="B568" s="1169" t="str">
        <f t="shared" si="120"/>
        <v xml:space="preserve">Design,supply ,testing ,erection and commissioing of  Power cables for GT and control cables at Yeldari HPS                                            </v>
      </c>
      <c r="C568" s="1162">
        <f t="shared" si="120"/>
        <v>0</v>
      </c>
      <c r="D568" s="1081" t="str">
        <f t="shared" si="120"/>
        <v>-</v>
      </c>
      <c r="E568" s="1163">
        <f t="shared" si="120"/>
        <v>0</v>
      </c>
      <c r="F568" s="1177">
        <f t="shared" si="114"/>
        <v>3.75</v>
      </c>
      <c r="G568" s="1177">
        <f t="shared" si="115"/>
        <v>3.75</v>
      </c>
      <c r="H568" s="1177">
        <f t="shared" si="108"/>
        <v>0</v>
      </c>
      <c r="I568" s="1158">
        <v>0</v>
      </c>
      <c r="J568" s="1158">
        <v>0</v>
      </c>
      <c r="K568" s="1177"/>
      <c r="L568" s="1177"/>
      <c r="M568" s="1177">
        <f t="shared" si="109"/>
        <v>0</v>
      </c>
      <c r="N568" s="1177">
        <f t="shared" si="110"/>
        <v>0</v>
      </c>
    </row>
    <row r="569" spans="1:14" ht="31" outlineLevel="1" x14ac:dyDescent="0.25">
      <c r="A569" s="1011">
        <f t="shared" si="120"/>
        <v>6</v>
      </c>
      <c r="B569" s="1169" t="str">
        <f t="shared" si="120"/>
        <v xml:space="preserve">Design,supply ,testing ,erection and commissioing of  Power cables for GT and control cables at Yeldari HPS                                              </v>
      </c>
      <c r="C569" s="1162">
        <f t="shared" si="120"/>
        <v>0</v>
      </c>
      <c r="D569" s="1081" t="str">
        <f t="shared" si="120"/>
        <v>-</v>
      </c>
      <c r="E569" s="1163">
        <f t="shared" si="120"/>
        <v>0</v>
      </c>
      <c r="F569" s="1177">
        <f t="shared" si="114"/>
        <v>1.5</v>
      </c>
      <c r="G569" s="1177">
        <f t="shared" si="115"/>
        <v>1.5</v>
      </c>
      <c r="H569" s="1177">
        <f t="shared" si="108"/>
        <v>0</v>
      </c>
      <c r="I569" s="1158">
        <v>0</v>
      </c>
      <c r="J569" s="1158">
        <v>0</v>
      </c>
      <c r="K569" s="1177"/>
      <c r="L569" s="1177"/>
      <c r="M569" s="1177">
        <f t="shared" si="109"/>
        <v>0</v>
      </c>
      <c r="N569" s="1177">
        <f t="shared" si="110"/>
        <v>0</v>
      </c>
    </row>
    <row r="570" spans="1:14" ht="15.5" outlineLevel="1" x14ac:dyDescent="0.25">
      <c r="A570" s="1168">
        <f t="shared" si="120"/>
        <v>0</v>
      </c>
      <c r="B570" s="1172" t="str">
        <f t="shared" si="120"/>
        <v>DPR 6(CIVIL)</v>
      </c>
      <c r="C570" s="1162">
        <f t="shared" si="120"/>
        <v>0</v>
      </c>
      <c r="D570" s="1081" t="str">
        <f t="shared" si="120"/>
        <v>-</v>
      </c>
      <c r="E570" s="1163">
        <f t="shared" si="120"/>
        <v>0</v>
      </c>
      <c r="F570" s="1177">
        <f t="shared" si="114"/>
        <v>0</v>
      </c>
      <c r="G570" s="1177">
        <f t="shared" si="115"/>
        <v>0</v>
      </c>
      <c r="H570" s="1177">
        <f t="shared" si="108"/>
        <v>0</v>
      </c>
      <c r="I570" s="1158">
        <v>0</v>
      </c>
      <c r="J570" s="1158">
        <v>0</v>
      </c>
      <c r="K570" s="1177"/>
      <c r="L570" s="1177"/>
      <c r="M570" s="1177">
        <f t="shared" si="109"/>
        <v>0</v>
      </c>
      <c r="N570" s="1177">
        <f t="shared" si="110"/>
        <v>0</v>
      </c>
    </row>
    <row r="571" spans="1:14" ht="15.5" outlineLevel="1" x14ac:dyDescent="0.25">
      <c r="A571" s="1011">
        <f t="shared" si="120"/>
        <v>1</v>
      </c>
      <c r="B571" s="1169" t="str">
        <f t="shared" si="120"/>
        <v>Package shade roof change at Ghatghar HPS</v>
      </c>
      <c r="C571" s="1162">
        <f t="shared" si="120"/>
        <v>0</v>
      </c>
      <c r="D571" s="1081" t="str">
        <f t="shared" si="120"/>
        <v>-</v>
      </c>
      <c r="E571" s="1163">
        <f t="shared" si="120"/>
        <v>0</v>
      </c>
      <c r="F571" s="1177">
        <f t="shared" si="114"/>
        <v>2</v>
      </c>
      <c r="G571" s="1177">
        <f t="shared" si="115"/>
        <v>2</v>
      </c>
      <c r="H571" s="1177">
        <f t="shared" si="108"/>
        <v>0</v>
      </c>
      <c r="I571" s="1158">
        <v>0</v>
      </c>
      <c r="J571" s="1158">
        <v>0</v>
      </c>
      <c r="K571" s="1177"/>
      <c r="L571" s="1177"/>
      <c r="M571" s="1177">
        <f t="shared" si="109"/>
        <v>0</v>
      </c>
      <c r="N571" s="1177">
        <f t="shared" si="110"/>
        <v>0</v>
      </c>
    </row>
    <row r="572" spans="1:14" ht="15.5" outlineLevel="1" x14ac:dyDescent="0.25">
      <c r="A572" s="1011">
        <f t="shared" si="120"/>
        <v>2</v>
      </c>
      <c r="B572" s="1169" t="str">
        <f t="shared" si="120"/>
        <v>PROCUREMENT OF MOBILE RACKS FOR STORES atGhatghar HPS</v>
      </c>
      <c r="C572" s="1162">
        <f t="shared" si="120"/>
        <v>0</v>
      </c>
      <c r="D572" s="1081" t="str">
        <f t="shared" si="120"/>
        <v>-</v>
      </c>
      <c r="E572" s="1163">
        <f t="shared" si="120"/>
        <v>0</v>
      </c>
      <c r="F572" s="1177">
        <f t="shared" si="114"/>
        <v>0.25</v>
      </c>
      <c r="G572" s="1177">
        <f t="shared" si="115"/>
        <v>0.25</v>
      </c>
      <c r="H572" s="1177">
        <f t="shared" si="108"/>
        <v>0</v>
      </c>
      <c r="I572" s="1158">
        <v>0</v>
      </c>
      <c r="J572" s="1158">
        <v>0</v>
      </c>
      <c r="K572" s="1177"/>
      <c r="L572" s="1177"/>
      <c r="M572" s="1177">
        <f t="shared" si="109"/>
        <v>0</v>
      </c>
      <c r="N572" s="1177">
        <f t="shared" si="110"/>
        <v>0</v>
      </c>
    </row>
    <row r="573" spans="1:14" ht="31" outlineLevel="1" x14ac:dyDescent="0.25">
      <c r="A573" s="1011">
        <f t="shared" ref="A573:E588" si="121">A475</f>
        <v>3</v>
      </c>
      <c r="B573" s="1169" t="str">
        <f t="shared" si="121"/>
        <v>Wall compound Rising of height and Wire fence on wall at package shade  at Ghatghar HPS</v>
      </c>
      <c r="C573" s="1162">
        <f t="shared" si="121"/>
        <v>0</v>
      </c>
      <c r="D573" s="1081" t="str">
        <f t="shared" si="121"/>
        <v>-</v>
      </c>
      <c r="E573" s="1163">
        <f t="shared" si="121"/>
        <v>0</v>
      </c>
      <c r="F573" s="1177">
        <f t="shared" ref="F573:F587" si="122">F475+I475</f>
        <v>1.5</v>
      </c>
      <c r="G573" s="1177">
        <f t="shared" ref="G573:G587" si="123">G475+M475</f>
        <v>1.5</v>
      </c>
      <c r="H573" s="1177">
        <f t="shared" si="108"/>
        <v>0</v>
      </c>
      <c r="I573" s="1158">
        <v>0</v>
      </c>
      <c r="J573" s="1158">
        <v>0</v>
      </c>
      <c r="K573" s="1177"/>
      <c r="L573" s="1177"/>
      <c r="M573" s="1177">
        <f t="shared" si="109"/>
        <v>0</v>
      </c>
      <c r="N573" s="1177">
        <f t="shared" si="110"/>
        <v>0</v>
      </c>
    </row>
    <row r="574" spans="1:14" ht="15.5" outlineLevel="1" x14ac:dyDescent="0.25">
      <c r="A574" s="1011">
        <f t="shared" si="121"/>
        <v>4</v>
      </c>
      <c r="B574" s="1169" t="str">
        <f t="shared" si="121"/>
        <v>Wall compound colony UCR at Ghatghar HPS</v>
      </c>
      <c r="C574" s="1162">
        <f t="shared" si="121"/>
        <v>0</v>
      </c>
      <c r="D574" s="1081" t="str">
        <f t="shared" si="121"/>
        <v>-</v>
      </c>
      <c r="E574" s="1163">
        <f t="shared" si="121"/>
        <v>0</v>
      </c>
      <c r="F574" s="1177">
        <f t="shared" si="122"/>
        <v>1.5</v>
      </c>
      <c r="G574" s="1177">
        <f t="shared" si="123"/>
        <v>1.5</v>
      </c>
      <c r="H574" s="1177">
        <f t="shared" si="108"/>
        <v>0</v>
      </c>
      <c r="I574" s="1158">
        <v>0</v>
      </c>
      <c r="J574" s="1158">
        <v>0</v>
      </c>
      <c r="K574" s="1177"/>
      <c r="L574" s="1177"/>
      <c r="M574" s="1177">
        <f t="shared" si="109"/>
        <v>0</v>
      </c>
      <c r="N574" s="1177">
        <f t="shared" si="110"/>
        <v>0</v>
      </c>
    </row>
    <row r="575" spans="1:14" ht="15.5" outlineLevel="1" x14ac:dyDescent="0.25">
      <c r="A575" s="1011">
        <f t="shared" si="121"/>
        <v>5</v>
      </c>
      <c r="B575" s="1169" t="str">
        <f t="shared" si="121"/>
        <v>Colony and office Road asphalting at Ghatghar HPS</v>
      </c>
      <c r="C575" s="1162">
        <f t="shared" si="121"/>
        <v>0</v>
      </c>
      <c r="D575" s="1081" t="str">
        <f t="shared" si="121"/>
        <v>-</v>
      </c>
      <c r="E575" s="1163">
        <f t="shared" si="121"/>
        <v>0</v>
      </c>
      <c r="F575" s="1177">
        <f t="shared" si="122"/>
        <v>2</v>
      </c>
      <c r="G575" s="1177">
        <f t="shared" si="123"/>
        <v>2</v>
      </c>
      <c r="H575" s="1177">
        <f t="shared" si="108"/>
        <v>0</v>
      </c>
      <c r="I575" s="1158">
        <v>0</v>
      </c>
      <c r="J575" s="1158">
        <v>0</v>
      </c>
      <c r="K575" s="1177"/>
      <c r="L575" s="1177"/>
      <c r="M575" s="1177">
        <f t="shared" si="109"/>
        <v>0</v>
      </c>
      <c r="N575" s="1177">
        <f t="shared" si="110"/>
        <v>0</v>
      </c>
    </row>
    <row r="576" spans="1:14" ht="15.5" outlineLevel="1" x14ac:dyDescent="0.25">
      <c r="A576" s="1011">
        <f t="shared" si="121"/>
        <v>6</v>
      </c>
      <c r="B576" s="1169" t="str">
        <f t="shared" si="121"/>
        <v xml:space="preserve"> Road colony to power house at Ghatghar HPS</v>
      </c>
      <c r="C576" s="1162">
        <f t="shared" si="121"/>
        <v>0</v>
      </c>
      <c r="D576" s="1081" t="str">
        <f t="shared" si="121"/>
        <v>-</v>
      </c>
      <c r="E576" s="1163">
        <f t="shared" si="121"/>
        <v>0</v>
      </c>
      <c r="F576" s="1177">
        <f t="shared" si="122"/>
        <v>7</v>
      </c>
      <c r="G576" s="1177">
        <f t="shared" si="123"/>
        <v>7</v>
      </c>
      <c r="H576" s="1177">
        <f t="shared" si="108"/>
        <v>0</v>
      </c>
      <c r="I576" s="1158">
        <v>0</v>
      </c>
      <c r="J576" s="1158">
        <v>0</v>
      </c>
      <c r="K576" s="1177"/>
      <c r="L576" s="1177"/>
      <c r="M576" s="1177">
        <f t="shared" si="109"/>
        <v>0</v>
      </c>
      <c r="N576" s="1177">
        <f t="shared" si="110"/>
        <v>0</v>
      </c>
    </row>
    <row r="577" spans="1:14" ht="15.5" outlineLevel="1" x14ac:dyDescent="0.25">
      <c r="A577" s="1168">
        <f t="shared" si="121"/>
        <v>0</v>
      </c>
      <c r="B577" s="1013">
        <f t="shared" si="121"/>
        <v>0</v>
      </c>
      <c r="C577" s="1162">
        <f t="shared" si="121"/>
        <v>0</v>
      </c>
      <c r="D577" s="1081" t="str">
        <f t="shared" si="121"/>
        <v>-</v>
      </c>
      <c r="E577" s="1163">
        <f t="shared" si="121"/>
        <v>0</v>
      </c>
      <c r="F577" s="1177">
        <f t="shared" si="122"/>
        <v>0</v>
      </c>
      <c r="G577" s="1177">
        <f t="shared" si="123"/>
        <v>0</v>
      </c>
      <c r="H577" s="1177">
        <f t="shared" si="108"/>
        <v>0</v>
      </c>
      <c r="I577" s="1158">
        <v>0</v>
      </c>
      <c r="J577" s="1158">
        <v>0</v>
      </c>
      <c r="K577" s="1177"/>
      <c r="L577" s="1177"/>
      <c r="M577" s="1177">
        <f t="shared" si="109"/>
        <v>0</v>
      </c>
      <c r="N577" s="1177">
        <f t="shared" si="110"/>
        <v>0</v>
      </c>
    </row>
    <row r="578" spans="1:14" ht="15.5" outlineLevel="1" x14ac:dyDescent="0.25">
      <c r="A578" s="1168">
        <f t="shared" si="121"/>
        <v>0</v>
      </c>
      <c r="B578" s="1150" t="str">
        <f t="shared" si="121"/>
        <v>(ii) Yet to be submitted to MERC(F Y 2027-28)</v>
      </c>
      <c r="C578" s="1162">
        <f t="shared" si="121"/>
        <v>0</v>
      </c>
      <c r="D578" s="1081" t="str">
        <f t="shared" si="121"/>
        <v>-</v>
      </c>
      <c r="E578" s="1163">
        <f t="shared" si="121"/>
        <v>0</v>
      </c>
      <c r="F578" s="1177">
        <f t="shared" si="122"/>
        <v>0</v>
      </c>
      <c r="G578" s="1177">
        <f t="shared" si="123"/>
        <v>0</v>
      </c>
      <c r="H578" s="1177">
        <f t="shared" si="108"/>
        <v>0</v>
      </c>
      <c r="I578" s="1158">
        <v>0</v>
      </c>
      <c r="J578" s="1158">
        <v>0</v>
      </c>
      <c r="K578" s="1177"/>
      <c r="L578" s="1177"/>
      <c r="M578" s="1177">
        <f t="shared" si="109"/>
        <v>0</v>
      </c>
      <c r="N578" s="1177">
        <f t="shared" si="110"/>
        <v>0</v>
      </c>
    </row>
    <row r="579" spans="1:14" ht="15.5" outlineLevel="1" x14ac:dyDescent="0.25">
      <c r="A579" s="1168">
        <f t="shared" si="121"/>
        <v>0</v>
      </c>
      <c r="B579" s="1150" t="str">
        <f t="shared" si="121"/>
        <v>DPR 7</v>
      </c>
      <c r="C579" s="1162">
        <f t="shared" si="121"/>
        <v>0</v>
      </c>
      <c r="D579" s="1081" t="str">
        <f t="shared" si="121"/>
        <v>-</v>
      </c>
      <c r="E579" s="1163">
        <f t="shared" si="121"/>
        <v>0</v>
      </c>
      <c r="F579" s="1177">
        <f t="shared" si="122"/>
        <v>0</v>
      </c>
      <c r="G579" s="1177">
        <f t="shared" si="123"/>
        <v>0</v>
      </c>
      <c r="H579" s="1177">
        <f t="shared" si="108"/>
        <v>0</v>
      </c>
      <c r="I579" s="1158">
        <v>0</v>
      </c>
      <c r="J579" s="1158">
        <v>0</v>
      </c>
      <c r="K579" s="1177"/>
      <c r="L579" s="1177"/>
      <c r="M579" s="1177">
        <f t="shared" si="109"/>
        <v>0</v>
      </c>
      <c r="N579" s="1177">
        <f t="shared" si="110"/>
        <v>0</v>
      </c>
    </row>
    <row r="580" spans="1:14" ht="15.5" outlineLevel="1" x14ac:dyDescent="0.25">
      <c r="A580" s="1011">
        <f t="shared" si="121"/>
        <v>1</v>
      </c>
      <c r="B580" s="1169" t="str">
        <f t="shared" si="121"/>
        <v>UPGRADATION OF SFC &amp; DDC PANEL at Ghatghar HPS</v>
      </c>
      <c r="C580" s="1162">
        <f t="shared" si="121"/>
        <v>0</v>
      </c>
      <c r="D580" s="1081" t="str">
        <f t="shared" si="121"/>
        <v>-</v>
      </c>
      <c r="E580" s="1163">
        <f t="shared" si="121"/>
        <v>0</v>
      </c>
      <c r="F580" s="1177">
        <f t="shared" si="122"/>
        <v>0</v>
      </c>
      <c r="G580" s="1177">
        <f t="shared" si="123"/>
        <v>0</v>
      </c>
      <c r="H580" s="1177">
        <f t="shared" si="108"/>
        <v>0</v>
      </c>
      <c r="I580" s="1158">
        <v>10</v>
      </c>
      <c r="J580" s="1158">
        <v>10</v>
      </c>
      <c r="K580" s="1177"/>
      <c r="L580" s="1177"/>
      <c r="M580" s="1177">
        <f t="shared" si="109"/>
        <v>10</v>
      </c>
      <c r="N580" s="1177">
        <f t="shared" si="110"/>
        <v>0</v>
      </c>
    </row>
    <row r="581" spans="1:14" ht="15.5" outlineLevel="1" x14ac:dyDescent="0.25">
      <c r="A581" s="1011">
        <f t="shared" si="121"/>
        <v>2</v>
      </c>
      <c r="B581" s="1169" t="str">
        <f t="shared" si="121"/>
        <v>BATTERY CHARGER PROCUREMENT at Ghatghar HPS</v>
      </c>
      <c r="C581" s="1162">
        <f t="shared" si="121"/>
        <v>0</v>
      </c>
      <c r="D581" s="1081" t="str">
        <f t="shared" si="121"/>
        <v>-</v>
      </c>
      <c r="E581" s="1163">
        <f t="shared" si="121"/>
        <v>0</v>
      </c>
      <c r="F581" s="1177">
        <f t="shared" si="122"/>
        <v>0</v>
      </c>
      <c r="G581" s="1177">
        <f t="shared" si="123"/>
        <v>0</v>
      </c>
      <c r="H581" s="1177">
        <f t="shared" si="108"/>
        <v>0</v>
      </c>
      <c r="I581" s="1158">
        <v>0.5</v>
      </c>
      <c r="J581" s="1158">
        <v>0.5</v>
      </c>
      <c r="K581" s="1177"/>
      <c r="L581" s="1177"/>
      <c r="M581" s="1177">
        <f t="shared" si="109"/>
        <v>0.5</v>
      </c>
      <c r="N581" s="1177">
        <f t="shared" si="110"/>
        <v>0</v>
      </c>
    </row>
    <row r="582" spans="1:14" ht="15.5" outlineLevel="1" x14ac:dyDescent="0.25">
      <c r="A582" s="1011">
        <f t="shared" si="121"/>
        <v>3</v>
      </c>
      <c r="B582" s="1169" t="str">
        <f t="shared" si="121"/>
        <v xml:space="preserve"> PHASE REVERSAL SWITCH PROCUREMENT at Ghatghar HPS</v>
      </c>
      <c r="C582" s="1162">
        <f t="shared" si="121"/>
        <v>0</v>
      </c>
      <c r="D582" s="1081" t="str">
        <f t="shared" si="121"/>
        <v>-</v>
      </c>
      <c r="E582" s="1163">
        <f t="shared" si="121"/>
        <v>0</v>
      </c>
      <c r="F582" s="1177">
        <f t="shared" si="122"/>
        <v>0</v>
      </c>
      <c r="G582" s="1177">
        <f t="shared" si="123"/>
        <v>0</v>
      </c>
      <c r="H582" s="1177">
        <f t="shared" si="108"/>
        <v>0</v>
      </c>
      <c r="I582" s="1158">
        <v>0.5</v>
      </c>
      <c r="J582" s="1158">
        <v>0.5</v>
      </c>
      <c r="K582" s="1177"/>
      <c r="L582" s="1177"/>
      <c r="M582" s="1177">
        <f t="shared" si="109"/>
        <v>0.5</v>
      </c>
      <c r="N582" s="1177">
        <f t="shared" si="110"/>
        <v>0</v>
      </c>
    </row>
    <row r="583" spans="1:14" ht="15.5" outlineLevel="1" x14ac:dyDescent="0.25">
      <c r="A583" s="1011">
        <f t="shared" si="121"/>
        <v>4</v>
      </c>
      <c r="B583" s="1169" t="str">
        <f t="shared" si="121"/>
        <v xml:space="preserve"> PROCUREMENT OF SPARES FOR 220kV GIS at Ghatghar HPS</v>
      </c>
      <c r="C583" s="1162">
        <f t="shared" si="121"/>
        <v>0</v>
      </c>
      <c r="D583" s="1081" t="str">
        <f t="shared" si="121"/>
        <v>-</v>
      </c>
      <c r="E583" s="1163">
        <f t="shared" si="121"/>
        <v>0</v>
      </c>
      <c r="F583" s="1177">
        <f t="shared" si="122"/>
        <v>0</v>
      </c>
      <c r="G583" s="1177">
        <f t="shared" si="123"/>
        <v>0</v>
      </c>
      <c r="H583" s="1177">
        <f t="shared" si="108"/>
        <v>0</v>
      </c>
      <c r="I583" s="1158">
        <v>6.5</v>
      </c>
      <c r="J583" s="1158">
        <v>6.5</v>
      </c>
      <c r="K583" s="1177"/>
      <c r="L583" s="1177"/>
      <c r="M583" s="1177">
        <f t="shared" si="109"/>
        <v>6.5</v>
      </c>
      <c r="N583" s="1177">
        <f t="shared" si="110"/>
        <v>0</v>
      </c>
    </row>
    <row r="584" spans="1:14" ht="15.5" outlineLevel="1" x14ac:dyDescent="0.25">
      <c r="A584" s="1011">
        <f t="shared" si="121"/>
        <v>5</v>
      </c>
      <c r="B584" s="1169" t="str">
        <f t="shared" si="121"/>
        <v xml:space="preserve"> PROCUREMENT OF RBDV at Ghatghar HPS</v>
      </c>
      <c r="C584" s="1162">
        <f t="shared" si="121"/>
        <v>0</v>
      </c>
      <c r="D584" s="1081" t="str">
        <f t="shared" si="121"/>
        <v>-</v>
      </c>
      <c r="E584" s="1163">
        <f t="shared" si="121"/>
        <v>0</v>
      </c>
      <c r="F584" s="1177">
        <f t="shared" si="122"/>
        <v>0</v>
      </c>
      <c r="G584" s="1177">
        <f t="shared" si="123"/>
        <v>0</v>
      </c>
      <c r="H584" s="1177">
        <f t="shared" si="108"/>
        <v>0</v>
      </c>
      <c r="I584" s="1158">
        <v>1</v>
      </c>
      <c r="J584" s="1158">
        <v>1</v>
      </c>
      <c r="K584" s="1177"/>
      <c r="L584" s="1177"/>
      <c r="M584" s="1177">
        <f t="shared" si="109"/>
        <v>1</v>
      </c>
      <c r="N584" s="1177">
        <f t="shared" si="110"/>
        <v>0</v>
      </c>
    </row>
    <row r="585" spans="1:14" ht="15.5" outlineLevel="1" x14ac:dyDescent="0.25">
      <c r="A585" s="1044">
        <f t="shared" si="121"/>
        <v>0</v>
      </c>
      <c r="B585" s="1040">
        <f t="shared" si="121"/>
        <v>0</v>
      </c>
      <c r="C585" s="1162">
        <f t="shared" si="121"/>
        <v>0</v>
      </c>
      <c r="D585" s="1081" t="str">
        <f t="shared" si="121"/>
        <v>-</v>
      </c>
      <c r="E585" s="1163">
        <f t="shared" si="121"/>
        <v>0</v>
      </c>
      <c r="F585" s="1177">
        <f t="shared" si="122"/>
        <v>0</v>
      </c>
      <c r="G585" s="1177">
        <f t="shared" si="123"/>
        <v>0</v>
      </c>
      <c r="H585" s="1177">
        <f t="shared" si="108"/>
        <v>0</v>
      </c>
      <c r="I585" s="1158">
        <v>0</v>
      </c>
      <c r="J585" s="1158">
        <v>0</v>
      </c>
      <c r="K585" s="1177"/>
      <c r="L585" s="1177"/>
      <c r="M585" s="1177">
        <f t="shared" si="109"/>
        <v>0</v>
      </c>
      <c r="N585" s="1177">
        <f t="shared" si="110"/>
        <v>0</v>
      </c>
    </row>
    <row r="586" spans="1:14" ht="15.5" outlineLevel="1" x14ac:dyDescent="0.25">
      <c r="A586" s="1168">
        <f t="shared" si="121"/>
        <v>0</v>
      </c>
      <c r="B586" s="1172" t="str">
        <f t="shared" si="121"/>
        <v>DPR 8</v>
      </c>
      <c r="C586" s="1162">
        <f t="shared" si="121"/>
        <v>0</v>
      </c>
      <c r="D586" s="1081" t="str">
        <f t="shared" si="121"/>
        <v>-</v>
      </c>
      <c r="E586" s="1163">
        <f t="shared" si="121"/>
        <v>0</v>
      </c>
      <c r="F586" s="1177">
        <f t="shared" si="122"/>
        <v>0</v>
      </c>
      <c r="G586" s="1177">
        <f t="shared" si="123"/>
        <v>0</v>
      </c>
      <c r="H586" s="1177">
        <f t="shared" si="108"/>
        <v>0</v>
      </c>
      <c r="I586" s="1158">
        <v>0</v>
      </c>
      <c r="J586" s="1158">
        <v>0</v>
      </c>
      <c r="K586" s="1177"/>
      <c r="L586" s="1177"/>
      <c r="M586" s="1177">
        <f t="shared" si="109"/>
        <v>0</v>
      </c>
      <c r="N586" s="1177">
        <f t="shared" si="110"/>
        <v>0</v>
      </c>
    </row>
    <row r="587" spans="1:14" ht="46.5" outlineLevel="1" x14ac:dyDescent="0.25">
      <c r="A587" s="1011">
        <f t="shared" si="121"/>
        <v>1</v>
      </c>
      <c r="B587" s="1169" t="str">
        <f t="shared" si="121"/>
        <v xml:space="preserve">Comprehensive work of Renovation, Modification, Design, Manufacture, Supply, Erection, Testing &amp; Commissioning of new Generator  on single point responsibility at 60 MW Vaitarna HPS.                          </v>
      </c>
      <c r="C587" s="1162">
        <f t="shared" si="121"/>
        <v>0</v>
      </c>
      <c r="D587" s="1081" t="str">
        <f t="shared" si="121"/>
        <v>-</v>
      </c>
      <c r="E587" s="1163">
        <f t="shared" si="121"/>
        <v>0</v>
      </c>
      <c r="F587" s="1177">
        <f t="shared" si="122"/>
        <v>0</v>
      </c>
      <c r="G587" s="1177">
        <f t="shared" si="123"/>
        <v>0</v>
      </c>
      <c r="H587" s="1177">
        <f t="shared" si="108"/>
        <v>0</v>
      </c>
      <c r="I587" s="1158">
        <v>50</v>
      </c>
      <c r="J587" s="1158">
        <v>50</v>
      </c>
      <c r="K587" s="1177"/>
      <c r="L587" s="1177"/>
      <c r="M587" s="1177">
        <f t="shared" si="109"/>
        <v>50</v>
      </c>
      <c r="N587" s="1177">
        <f t="shared" si="110"/>
        <v>0</v>
      </c>
    </row>
    <row r="588" spans="1:14" ht="15.5" outlineLevel="1" x14ac:dyDescent="0.25">
      <c r="A588" s="1011">
        <f t="shared" si="121"/>
        <v>0</v>
      </c>
      <c r="B588" s="1012" t="str">
        <f t="shared" si="121"/>
        <v>B) Non-DPR Schemes</v>
      </c>
      <c r="C588" s="1162">
        <f t="shared" si="121"/>
        <v>0</v>
      </c>
      <c r="D588" s="1081" t="str">
        <f t="shared" si="121"/>
        <v>-</v>
      </c>
      <c r="E588" s="1163">
        <f t="shared" si="121"/>
        <v>0</v>
      </c>
      <c r="F588" s="1177">
        <f>F490+I490</f>
        <v>0</v>
      </c>
      <c r="G588" s="1177">
        <f>G490+M490</f>
        <v>0</v>
      </c>
      <c r="H588" s="1177">
        <f t="shared" si="108"/>
        <v>0</v>
      </c>
      <c r="I588" s="1158">
        <v>0</v>
      </c>
      <c r="J588" s="1158">
        <v>0</v>
      </c>
      <c r="K588" s="1177"/>
      <c r="L588" s="1177"/>
      <c r="M588" s="1177">
        <f t="shared" si="109"/>
        <v>0</v>
      </c>
      <c r="N588" s="1177">
        <f t="shared" si="110"/>
        <v>0</v>
      </c>
    </row>
    <row r="589" spans="1:14" ht="15.5" outlineLevel="1" x14ac:dyDescent="0.25">
      <c r="A589" s="1160">
        <f t="shared" ref="A589:E592" si="124">A491</f>
        <v>1</v>
      </c>
      <c r="B589" s="1035" t="str">
        <f t="shared" si="124"/>
        <v>Office Equipment</v>
      </c>
      <c r="C589" s="1162">
        <f t="shared" si="124"/>
        <v>0</v>
      </c>
      <c r="D589" s="1081" t="str">
        <f t="shared" si="124"/>
        <v>-</v>
      </c>
      <c r="E589" s="1163">
        <f t="shared" si="124"/>
        <v>0</v>
      </c>
      <c r="F589" s="1177">
        <f>F491+I491</f>
        <v>0.66373825499999994</v>
      </c>
      <c r="G589" s="1177">
        <f>G491+M491</f>
        <v>0.70044345600000002</v>
      </c>
      <c r="H589" s="1177">
        <f t="shared" si="108"/>
        <v>-3.6705201000000076E-2</v>
      </c>
      <c r="I589" s="1158">
        <v>0</v>
      </c>
      <c r="J589" s="1158">
        <v>0</v>
      </c>
      <c r="K589" s="1177"/>
      <c r="L589" s="1177"/>
      <c r="M589" s="1177">
        <f t="shared" si="109"/>
        <v>0</v>
      </c>
      <c r="N589" s="1177">
        <f t="shared" si="110"/>
        <v>-3.6705201000000076E-2</v>
      </c>
    </row>
    <row r="590" spans="1:14" ht="15.5" outlineLevel="1" x14ac:dyDescent="0.25">
      <c r="A590" s="1160">
        <f t="shared" si="124"/>
        <v>2</v>
      </c>
      <c r="B590" s="1034" t="str">
        <f t="shared" si="124"/>
        <v>Furniture &amp; Fixtures</v>
      </c>
      <c r="C590" s="1162">
        <f t="shared" si="124"/>
        <v>0</v>
      </c>
      <c r="D590" s="1081" t="str">
        <f t="shared" si="124"/>
        <v>-</v>
      </c>
      <c r="E590" s="1163">
        <f t="shared" si="124"/>
        <v>0</v>
      </c>
      <c r="F590" s="1177">
        <f>F492+I492</f>
        <v>3.5748099999999998E-2</v>
      </c>
      <c r="G590" s="1177">
        <f>G492+M492</f>
        <v>3.5748099999999998E-2</v>
      </c>
      <c r="H590" s="1177">
        <f t="shared" si="108"/>
        <v>0</v>
      </c>
      <c r="I590" s="1158">
        <v>0</v>
      </c>
      <c r="J590" s="1158">
        <v>0</v>
      </c>
      <c r="K590" s="1177"/>
      <c r="L590" s="1177"/>
      <c r="M590" s="1177">
        <f t="shared" si="109"/>
        <v>0</v>
      </c>
      <c r="N590" s="1177">
        <f t="shared" si="110"/>
        <v>0</v>
      </c>
    </row>
    <row r="591" spans="1:14" ht="62" outlineLevel="1" x14ac:dyDescent="0.25">
      <c r="A591" s="1160">
        <f t="shared" si="124"/>
        <v>3</v>
      </c>
      <c r="B591" s="1169" t="str">
        <f t="shared" si="124"/>
        <v xml:space="preserve">Replacement of existing 300AH/220VDC &amp; 200AH/220VDC Battery Set with new Lead acid Tubular Battery Set along with Design, manufacture, supply, installation, commissioning &amp; testing at Yeldari &amp; Paithan HPS </v>
      </c>
      <c r="C591" s="1162">
        <f t="shared" si="124"/>
        <v>0</v>
      </c>
      <c r="D591" s="1081" t="str">
        <f t="shared" si="124"/>
        <v>-</v>
      </c>
      <c r="E591" s="1163">
        <f t="shared" si="124"/>
        <v>0</v>
      </c>
      <c r="F591" s="1177">
        <f>F493+I493</f>
        <v>0.22830016</v>
      </c>
      <c r="G591" s="1177">
        <f>G493+M493</f>
        <v>0.22830016</v>
      </c>
      <c r="H591" s="1177">
        <f t="shared" si="108"/>
        <v>0</v>
      </c>
      <c r="I591" s="1158">
        <v>0</v>
      </c>
      <c r="J591" s="1158">
        <v>0</v>
      </c>
      <c r="K591" s="1177"/>
      <c r="L591" s="1177"/>
      <c r="M591" s="1177">
        <f t="shared" si="109"/>
        <v>0</v>
      </c>
      <c r="N591" s="1177">
        <f t="shared" si="110"/>
        <v>0</v>
      </c>
    </row>
    <row r="592" spans="1:14" ht="16" outlineLevel="1" thickBot="1" x14ac:dyDescent="0.3">
      <c r="A592" s="1160">
        <f t="shared" si="124"/>
        <v>4</v>
      </c>
      <c r="B592" s="1169" t="str">
        <f t="shared" si="124"/>
        <v>Vehicle (Fire Tender )</v>
      </c>
      <c r="C592" s="1162">
        <f t="shared" si="124"/>
        <v>0</v>
      </c>
      <c r="D592" s="1081" t="str">
        <f t="shared" si="124"/>
        <v>-</v>
      </c>
      <c r="E592" s="1163">
        <f t="shared" si="124"/>
        <v>0</v>
      </c>
      <c r="F592" s="1177">
        <f>F494+I494</f>
        <v>4.0077621479999994</v>
      </c>
      <c r="G592" s="1177">
        <f>G494+M494</f>
        <v>4.0077621479999994</v>
      </c>
      <c r="H592" s="1177">
        <f t="shared" si="108"/>
        <v>0</v>
      </c>
      <c r="I592" s="1158">
        <v>0</v>
      </c>
      <c r="J592" s="1158">
        <v>0</v>
      </c>
      <c r="K592" s="1177"/>
      <c r="L592" s="1177"/>
      <c r="M592" s="1177">
        <f t="shared" si="109"/>
        <v>0</v>
      </c>
      <c r="N592" s="1177">
        <f t="shared" si="110"/>
        <v>0</v>
      </c>
    </row>
    <row r="593" spans="1:16" ht="15" thickBot="1" x14ac:dyDescent="0.3">
      <c r="A593" s="1080"/>
      <c r="B593" s="1079" t="str">
        <f>B495</f>
        <v>Total</v>
      </c>
      <c r="C593" s="1078"/>
      <c r="D593" s="1077"/>
      <c r="E593" s="1173"/>
      <c r="F593" s="1174">
        <f t="shared" ref="F593:N593" si="125">SUM(F500:F592)</f>
        <v>242.28986108499996</v>
      </c>
      <c r="G593" s="1174">
        <f t="shared" si="125"/>
        <v>242.92326016699997</v>
      </c>
      <c r="H593" s="1174">
        <f t="shared" si="125"/>
        <v>-0.63339908200000072</v>
      </c>
      <c r="I593" s="1174">
        <f t="shared" si="125"/>
        <v>68.5</v>
      </c>
      <c r="J593" s="1174">
        <f t="shared" si="125"/>
        <v>68.5</v>
      </c>
      <c r="K593" s="1174">
        <f t="shared" si="125"/>
        <v>0</v>
      </c>
      <c r="L593" s="1174">
        <f t="shared" si="125"/>
        <v>0</v>
      </c>
      <c r="M593" s="1174">
        <f t="shared" si="125"/>
        <v>68.5</v>
      </c>
      <c r="N593" s="1174">
        <f t="shared" si="125"/>
        <v>-0.63339908200000072</v>
      </c>
    </row>
    <row r="595" spans="1:16" x14ac:dyDescent="0.25">
      <c r="A595" s="1145"/>
      <c r="B595" s="1082" t="s">
        <v>942</v>
      </c>
      <c r="C595" s="1146"/>
      <c r="D595" s="1147"/>
      <c r="E595" s="1148"/>
      <c r="F595" s="1176"/>
      <c r="G595" s="1176"/>
      <c r="H595" s="1176"/>
      <c r="I595" s="1176"/>
      <c r="J595" s="1176"/>
      <c r="K595" s="1176"/>
      <c r="L595" s="1176"/>
      <c r="M595" s="1176"/>
      <c r="N595" s="1176"/>
    </row>
    <row r="596" spans="1:16" ht="15.5" outlineLevel="1" x14ac:dyDescent="0.25">
      <c r="A596" s="1149"/>
      <c r="B596" s="1012" t="str">
        <f t="shared" ref="B596:E603" si="126">B498</f>
        <v>a) DPR Schemes</v>
      </c>
      <c r="C596" s="1146"/>
      <c r="D596" s="1147"/>
      <c r="E596" s="1148"/>
      <c r="F596" s="1176"/>
      <c r="G596" s="1176"/>
      <c r="H596" s="1176"/>
      <c r="I596" s="1176"/>
      <c r="J596" s="1176"/>
      <c r="K596" s="1176"/>
      <c r="L596" s="1176"/>
      <c r="M596" s="1176"/>
      <c r="N596" s="1176"/>
    </row>
    <row r="597" spans="1:16" ht="15.5" outlineLevel="1" x14ac:dyDescent="0.25">
      <c r="A597" s="1149"/>
      <c r="B597" s="1150" t="str">
        <f t="shared" si="126"/>
        <v>(i) Submitted to MERC</v>
      </c>
      <c r="C597" s="1151"/>
      <c r="D597" s="1152"/>
      <c r="E597" s="1148"/>
      <c r="F597" s="1176"/>
      <c r="G597" s="1176"/>
      <c r="H597" s="1176"/>
      <c r="I597" s="1176"/>
      <c r="J597" s="1176"/>
      <c r="K597" s="1176"/>
      <c r="L597" s="1176"/>
      <c r="M597" s="1176"/>
      <c r="N597" s="1176"/>
    </row>
    <row r="598" spans="1:16" ht="31" outlineLevel="1" x14ac:dyDescent="0.25">
      <c r="A598" s="1153">
        <f t="shared" ref="A598:E605" si="127">A500</f>
        <v>2</v>
      </c>
      <c r="B598" s="1154" t="str">
        <f t="shared" si="126"/>
        <v>Various schemes of Hydro Power Stations at HPC Pune &amp; HPC Nasik</v>
      </c>
      <c r="C598" s="1155" t="str">
        <f t="shared" si="126"/>
        <v>MERC/TECH 12/CAPEX/20142015/00876</v>
      </c>
      <c r="D598" s="1156">
        <f t="shared" si="126"/>
        <v>41871</v>
      </c>
      <c r="E598" s="1157">
        <f t="shared" si="126"/>
        <v>0.73120000000000007</v>
      </c>
      <c r="F598" s="1158">
        <f t="shared" ref="F598:F605" si="128">F500+I500</f>
        <v>0</v>
      </c>
      <c r="G598" s="1158">
        <f t="shared" ref="G598:G605" si="129">G500+M500</f>
        <v>0</v>
      </c>
      <c r="H598" s="1158">
        <f>F598-G598</f>
        <v>0</v>
      </c>
      <c r="I598" s="1158">
        <v>0</v>
      </c>
      <c r="J598" s="1158">
        <v>0</v>
      </c>
      <c r="K598" s="1158"/>
      <c r="L598" s="1158"/>
      <c r="M598" s="1158">
        <f>SUM(J598:L598)</f>
        <v>0</v>
      </c>
      <c r="N598" s="1158">
        <f>H598+I598-M598</f>
        <v>0</v>
      </c>
      <c r="O598" s="1159">
        <f t="shared" ref="O598:O603" si="130">MAX(0,IF(M598=0,0,IF(G598+M598&lt;E598,M598,E598-G598)))</f>
        <v>0</v>
      </c>
      <c r="P598" s="1014">
        <f t="shared" ref="P598:P603" si="131">M598-O598</f>
        <v>0</v>
      </c>
    </row>
    <row r="599" spans="1:16" ht="46.5" outlineLevel="1" x14ac:dyDescent="0.25">
      <c r="A599" s="1160">
        <f t="shared" si="127"/>
        <v>2.6</v>
      </c>
      <c r="B599" s="1161" t="str">
        <f t="shared" si="126"/>
        <v>Supply, testing, installation and commissioning of Exide make 300 AH 220 V Lead acid stationary Plante type station battery set for Vaitarna HPS</v>
      </c>
      <c r="C599" s="1162" t="str">
        <f t="shared" si="126"/>
        <v>MERC/TECH 12/CAPEX/20142015/00876</v>
      </c>
      <c r="D599" s="1081">
        <f t="shared" si="126"/>
        <v>41871</v>
      </c>
      <c r="E599" s="1163">
        <f t="shared" si="126"/>
        <v>0.2</v>
      </c>
      <c r="F599" s="1177">
        <f t="shared" si="128"/>
        <v>0.1988615</v>
      </c>
      <c r="G599" s="1177">
        <f t="shared" si="129"/>
        <v>0.1988615</v>
      </c>
      <c r="H599" s="1177">
        <f t="shared" ref="H599:H690" si="132">F599-G599</f>
        <v>0</v>
      </c>
      <c r="I599" s="1158">
        <v>0</v>
      </c>
      <c r="J599" s="1158">
        <v>0</v>
      </c>
      <c r="K599" s="1177"/>
      <c r="L599" s="1177"/>
      <c r="M599" s="1177">
        <f t="shared" ref="M599:M690" si="133">SUM(J599:L599)</f>
        <v>0</v>
      </c>
      <c r="N599" s="1177">
        <f t="shared" ref="N599:N690" si="134">H599+I599-M599</f>
        <v>0</v>
      </c>
      <c r="O599" s="1159">
        <f t="shared" si="130"/>
        <v>0</v>
      </c>
      <c r="P599" s="1014">
        <f t="shared" si="131"/>
        <v>0</v>
      </c>
    </row>
    <row r="600" spans="1:16" ht="46.5" outlineLevel="1" x14ac:dyDescent="0.25">
      <c r="A600" s="1160">
        <f t="shared" si="127"/>
        <v>2.7</v>
      </c>
      <c r="B600" s="1161" t="str">
        <f t="shared" si="126"/>
        <v>Supply, testing, installation and commissioning of Exide make 300 AH 220 V Lead acid stationary Plante type station battery set for Bhatsa HPS</v>
      </c>
      <c r="C600" s="1162" t="str">
        <f t="shared" si="126"/>
        <v>MERC/TECH 12/CAPEX/20142015/00876</v>
      </c>
      <c r="D600" s="1081">
        <f t="shared" si="126"/>
        <v>41871</v>
      </c>
      <c r="E600" s="1163">
        <f t="shared" si="126"/>
        <v>0.2</v>
      </c>
      <c r="F600" s="1177">
        <f t="shared" si="128"/>
        <v>0.1988615</v>
      </c>
      <c r="G600" s="1177">
        <f t="shared" si="129"/>
        <v>0.1988615</v>
      </c>
      <c r="H600" s="1177">
        <f t="shared" si="132"/>
        <v>0</v>
      </c>
      <c r="I600" s="1158">
        <v>0</v>
      </c>
      <c r="J600" s="1158">
        <v>0</v>
      </c>
      <c r="K600" s="1177"/>
      <c r="L600" s="1177"/>
      <c r="M600" s="1177">
        <f t="shared" si="133"/>
        <v>0</v>
      </c>
      <c r="N600" s="1177">
        <f t="shared" si="134"/>
        <v>0</v>
      </c>
      <c r="O600" s="1159">
        <f t="shared" si="130"/>
        <v>0</v>
      </c>
      <c r="P600" s="1014">
        <f t="shared" si="131"/>
        <v>0</v>
      </c>
    </row>
    <row r="601" spans="1:16" ht="29" outlineLevel="1" x14ac:dyDescent="0.25">
      <c r="A601" s="1160">
        <f t="shared" si="127"/>
        <v>0</v>
      </c>
      <c r="B601" s="1161" t="str">
        <f t="shared" si="126"/>
        <v>IDC</v>
      </c>
      <c r="C601" s="1162" t="str">
        <f t="shared" si="126"/>
        <v>MERC/TECH 12/CAPEX/20142015/00876</v>
      </c>
      <c r="D601" s="1081">
        <f t="shared" si="126"/>
        <v>41871</v>
      </c>
      <c r="E601" s="1163">
        <f t="shared" si="126"/>
        <v>0.33119999999999999</v>
      </c>
      <c r="F601" s="1177">
        <f t="shared" si="128"/>
        <v>0</v>
      </c>
      <c r="G601" s="1177">
        <f t="shared" si="129"/>
        <v>0</v>
      </c>
      <c r="H601" s="1177">
        <f t="shared" si="132"/>
        <v>0</v>
      </c>
      <c r="I601" s="1158">
        <v>0</v>
      </c>
      <c r="J601" s="1158">
        <v>0</v>
      </c>
      <c r="K601" s="1177"/>
      <c r="L601" s="1177"/>
      <c r="M601" s="1177">
        <f t="shared" si="133"/>
        <v>0</v>
      </c>
      <c r="N601" s="1177">
        <f t="shared" si="134"/>
        <v>0</v>
      </c>
      <c r="O601" s="1159">
        <f t="shared" si="130"/>
        <v>0</v>
      </c>
      <c r="P601" s="1014">
        <f t="shared" si="131"/>
        <v>0</v>
      </c>
    </row>
    <row r="602" spans="1:16" ht="31" outlineLevel="1" x14ac:dyDescent="0.25">
      <c r="A602" s="1153">
        <f t="shared" si="127"/>
        <v>6</v>
      </c>
      <c r="B602" s="1154" t="str">
        <f t="shared" si="126"/>
        <v>Upgradation of Protection Systems at Ghatghar (2x125MW) and Bhatsa (1x15MW) HPS under HPC Nasik</v>
      </c>
      <c r="C602" s="1155" t="str">
        <f t="shared" si="126"/>
        <v>MERC/CAPEX/20172018/04220</v>
      </c>
      <c r="D602" s="1156">
        <f t="shared" si="126"/>
        <v>42997</v>
      </c>
      <c r="E602" s="1157">
        <f t="shared" si="126"/>
        <v>15.104000000000001</v>
      </c>
      <c r="F602" s="1158">
        <f t="shared" si="128"/>
        <v>0</v>
      </c>
      <c r="G602" s="1158">
        <f t="shared" si="129"/>
        <v>0</v>
      </c>
      <c r="H602" s="1158">
        <f t="shared" si="132"/>
        <v>0</v>
      </c>
      <c r="I602" s="1158">
        <v>0</v>
      </c>
      <c r="J602" s="1158">
        <v>0</v>
      </c>
      <c r="K602" s="1158"/>
      <c r="L602" s="1158"/>
      <c r="M602" s="1158">
        <f t="shared" si="133"/>
        <v>0</v>
      </c>
      <c r="N602" s="1158">
        <f t="shared" si="134"/>
        <v>0</v>
      </c>
      <c r="O602" s="1159">
        <f t="shared" si="130"/>
        <v>0</v>
      </c>
      <c r="P602" s="1014">
        <f t="shared" si="131"/>
        <v>0</v>
      </c>
    </row>
    <row r="603" spans="1:16" ht="31" outlineLevel="1" x14ac:dyDescent="0.25">
      <c r="A603" s="1160">
        <f t="shared" si="127"/>
        <v>6.1</v>
      </c>
      <c r="B603" s="1161" t="str">
        <f t="shared" si="126"/>
        <v>Up gradation of Protection System &amp;unitrol excitation system at Ghatghar Hydro Power Station.</v>
      </c>
      <c r="C603" s="1162" t="str">
        <f t="shared" si="126"/>
        <v>MERC/CAPEX/20172018/04220</v>
      </c>
      <c r="D603" s="1081">
        <f t="shared" si="126"/>
        <v>42997</v>
      </c>
      <c r="E603" s="1163">
        <f t="shared" si="126"/>
        <v>9.6780000000000008</v>
      </c>
      <c r="F603" s="1177">
        <f t="shared" si="128"/>
        <v>0</v>
      </c>
      <c r="G603" s="1177">
        <f t="shared" si="129"/>
        <v>0</v>
      </c>
      <c r="H603" s="1177">
        <f t="shared" si="132"/>
        <v>0</v>
      </c>
      <c r="I603" s="1158">
        <v>0</v>
      </c>
      <c r="J603" s="1158">
        <v>0</v>
      </c>
      <c r="K603" s="1177"/>
      <c r="L603" s="1177"/>
      <c r="M603" s="1177">
        <f t="shared" si="133"/>
        <v>0</v>
      </c>
      <c r="N603" s="1177">
        <f t="shared" si="134"/>
        <v>0</v>
      </c>
      <c r="O603" s="1159">
        <f t="shared" si="130"/>
        <v>0</v>
      </c>
      <c r="P603" s="1014">
        <f t="shared" si="131"/>
        <v>0</v>
      </c>
    </row>
    <row r="604" spans="1:16" ht="31" outlineLevel="1" x14ac:dyDescent="0.25">
      <c r="A604" s="1160">
        <f t="shared" si="127"/>
        <v>0</v>
      </c>
      <c r="B604" s="1161" t="str">
        <f t="shared" si="127"/>
        <v>Part A : upgradation of unitrol excitation system for both units at GHPS</v>
      </c>
      <c r="C604" s="1162">
        <f t="shared" si="127"/>
        <v>0</v>
      </c>
      <c r="D604" s="1081" t="str">
        <f t="shared" si="127"/>
        <v>-</v>
      </c>
      <c r="E604" s="1163">
        <f t="shared" si="127"/>
        <v>0</v>
      </c>
      <c r="F604" s="1177">
        <f t="shared" si="128"/>
        <v>3.4190499999999999</v>
      </c>
      <c r="G604" s="1177">
        <f t="shared" si="129"/>
        <v>3.4190499999999999</v>
      </c>
      <c r="H604" s="1177">
        <f t="shared" si="132"/>
        <v>0</v>
      </c>
      <c r="I604" s="1158">
        <v>0</v>
      </c>
      <c r="J604" s="1158">
        <v>0</v>
      </c>
      <c r="K604" s="1177"/>
      <c r="L604" s="1177"/>
      <c r="M604" s="1177">
        <f t="shared" si="133"/>
        <v>0</v>
      </c>
      <c r="N604" s="1177">
        <f t="shared" si="134"/>
        <v>0</v>
      </c>
      <c r="O604" s="1159"/>
      <c r="P604" s="1014"/>
    </row>
    <row r="605" spans="1:16" ht="15.5" outlineLevel="1" x14ac:dyDescent="0.25">
      <c r="A605" s="1160">
        <f t="shared" si="127"/>
        <v>0</v>
      </c>
      <c r="B605" s="1161" t="str">
        <f t="shared" si="127"/>
        <v>Part B : upgradation of Protection system for both units at GHPS</v>
      </c>
      <c r="C605" s="1162">
        <f t="shared" si="127"/>
        <v>0</v>
      </c>
      <c r="D605" s="1081" t="str">
        <f t="shared" si="127"/>
        <v>-</v>
      </c>
      <c r="E605" s="1163">
        <f t="shared" si="127"/>
        <v>0</v>
      </c>
      <c r="F605" s="1177">
        <f t="shared" si="128"/>
        <v>2.9146000000000001</v>
      </c>
      <c r="G605" s="1177">
        <f t="shared" si="129"/>
        <v>2.9146000000000001</v>
      </c>
      <c r="H605" s="1177">
        <f t="shared" si="132"/>
        <v>0</v>
      </c>
      <c r="I605" s="1158">
        <v>0</v>
      </c>
      <c r="J605" s="1158">
        <v>0</v>
      </c>
      <c r="K605" s="1177"/>
      <c r="L605" s="1177"/>
      <c r="M605" s="1177">
        <f t="shared" si="133"/>
        <v>0</v>
      </c>
      <c r="N605" s="1177">
        <f t="shared" si="134"/>
        <v>0</v>
      </c>
      <c r="O605" s="1159"/>
      <c r="P605" s="1014"/>
    </row>
    <row r="606" spans="1:16" ht="46.5" outlineLevel="1" x14ac:dyDescent="0.25">
      <c r="A606" s="1160">
        <f>A508</f>
        <v>6.2</v>
      </c>
      <c r="B606" s="1161" t="str">
        <f>B508</f>
        <v>Up gradation of ABB Make Protection System &amp; Automatic Voltage Regulator, Relay Based Unit &amp; Auxiliary control for Bhatsa Hydro Power Station(1 X 15MW).</v>
      </c>
      <c r="C606" s="1162" t="str">
        <f>C508</f>
        <v>MERC/CAPEX/20172018/04220</v>
      </c>
      <c r="D606" s="1081">
        <f>D508</f>
        <v>42997</v>
      </c>
      <c r="E606" s="1163">
        <f>E508</f>
        <v>5.4260000000000002</v>
      </c>
      <c r="F606" s="1177">
        <f>F508+I508</f>
        <v>0</v>
      </c>
      <c r="G606" s="1177">
        <f>G508+M508</f>
        <v>0</v>
      </c>
      <c r="H606" s="1177">
        <f t="shared" si="132"/>
        <v>0</v>
      </c>
      <c r="I606" s="1158">
        <v>0</v>
      </c>
      <c r="J606" s="1158">
        <v>0</v>
      </c>
      <c r="K606" s="1177"/>
      <c r="L606" s="1177"/>
      <c r="M606" s="1177">
        <f t="shared" si="133"/>
        <v>0</v>
      </c>
      <c r="N606" s="1177">
        <f t="shared" si="134"/>
        <v>0</v>
      </c>
      <c r="O606" s="1159">
        <f t="shared" ref="O606" si="135">MAX(0,IF(M606=0,0,IF(G606+M606&lt;E606,M606,E606-G606)))</f>
        <v>0</v>
      </c>
      <c r="P606" s="1014">
        <f t="shared" ref="P606" si="136">M606-O606</f>
        <v>0</v>
      </c>
    </row>
    <row r="607" spans="1:16" ht="46.5" outlineLevel="1" x14ac:dyDescent="0.25">
      <c r="A607" s="1160">
        <f t="shared" ref="A607:E622" si="137">A509</f>
        <v>0</v>
      </c>
      <c r="B607" s="1161" t="str">
        <f t="shared" si="137"/>
        <v xml:space="preserve"> Protection system Part A:- Restoration and up-gradation of electromechanical and static relays with numerical relays along with installation, testing, commissioning, and misc. allied works </v>
      </c>
      <c r="C607" s="1162">
        <f t="shared" si="137"/>
        <v>0</v>
      </c>
      <c r="D607" s="1081" t="str">
        <f t="shared" si="137"/>
        <v>-</v>
      </c>
      <c r="E607" s="1163">
        <f t="shared" si="137"/>
        <v>0</v>
      </c>
      <c r="F607" s="1177">
        <f t="shared" ref="F607:F670" si="138">F509+I509</f>
        <v>0</v>
      </c>
      <c r="G607" s="1177">
        <f t="shared" ref="G607:G670" si="139">G509+M509</f>
        <v>0.45666000000000001</v>
      </c>
      <c r="H607" s="1177">
        <f t="shared" si="132"/>
        <v>-0.45666000000000001</v>
      </c>
      <c r="I607" s="1158">
        <v>0</v>
      </c>
      <c r="J607" s="1158">
        <v>0</v>
      </c>
      <c r="K607" s="1177"/>
      <c r="L607" s="1177"/>
      <c r="M607" s="1177">
        <f t="shared" si="133"/>
        <v>0</v>
      </c>
      <c r="N607" s="1177">
        <f t="shared" si="134"/>
        <v>-0.45666000000000001</v>
      </c>
      <c r="O607" s="1159"/>
      <c r="P607" s="1014"/>
    </row>
    <row r="608" spans="1:16" ht="31" outlineLevel="1" x14ac:dyDescent="0.25">
      <c r="A608" s="1160">
        <f t="shared" si="137"/>
        <v>0</v>
      </c>
      <c r="B608" s="1161" t="str">
        <f t="shared" si="137"/>
        <v>Protection system Part B:- Procure of redundant &amp; spare Numerical relays for Generator and G T Protection system.</v>
      </c>
      <c r="C608" s="1162">
        <f t="shared" si="137"/>
        <v>0</v>
      </c>
      <c r="D608" s="1081" t="str">
        <f t="shared" si="137"/>
        <v>-</v>
      </c>
      <c r="E608" s="1163">
        <f t="shared" si="137"/>
        <v>0</v>
      </c>
      <c r="F608" s="1177">
        <f t="shared" si="138"/>
        <v>0.65</v>
      </c>
      <c r="G608" s="1177">
        <f t="shared" si="139"/>
        <v>0.65</v>
      </c>
      <c r="H608" s="1177">
        <f t="shared" si="132"/>
        <v>0</v>
      </c>
      <c r="I608" s="1158">
        <v>0</v>
      </c>
      <c r="J608" s="1158">
        <v>0</v>
      </c>
      <c r="K608" s="1177"/>
      <c r="L608" s="1177"/>
      <c r="M608" s="1177">
        <f t="shared" si="133"/>
        <v>0</v>
      </c>
      <c r="N608" s="1177">
        <f t="shared" si="134"/>
        <v>0</v>
      </c>
      <c r="O608" s="1159"/>
      <c r="P608" s="1014"/>
    </row>
    <row r="609" spans="1:16" ht="46.5" outlineLevel="1" x14ac:dyDescent="0.25">
      <c r="A609" s="1160">
        <f t="shared" si="137"/>
        <v>0</v>
      </c>
      <c r="B609" s="1161" t="str">
        <f t="shared" si="137"/>
        <v>C- Supply erection, testing and Commissioning and supervision of dismantling and erection of static excitation system and control system along with field instrumentation at Bhatsa HPS</v>
      </c>
      <c r="C609" s="1162">
        <f t="shared" si="137"/>
        <v>0</v>
      </c>
      <c r="D609" s="1081" t="str">
        <f t="shared" si="137"/>
        <v>-</v>
      </c>
      <c r="E609" s="1163">
        <f t="shared" si="137"/>
        <v>0</v>
      </c>
      <c r="F609" s="1177">
        <f t="shared" si="138"/>
        <v>3.8231999999999999</v>
      </c>
      <c r="G609" s="1177">
        <f t="shared" si="139"/>
        <v>3.8231999999999999</v>
      </c>
      <c r="H609" s="1177">
        <f t="shared" si="132"/>
        <v>0</v>
      </c>
      <c r="I609" s="1158">
        <v>0</v>
      </c>
      <c r="J609" s="1158">
        <v>0</v>
      </c>
      <c r="K609" s="1177"/>
      <c r="L609" s="1177"/>
      <c r="M609" s="1177">
        <f t="shared" si="133"/>
        <v>0</v>
      </c>
      <c r="N609" s="1177">
        <f t="shared" si="134"/>
        <v>0</v>
      </c>
      <c r="O609" s="1159"/>
      <c r="P609" s="1014"/>
    </row>
    <row r="610" spans="1:16" ht="31" outlineLevel="1" x14ac:dyDescent="0.25">
      <c r="A610" s="1153">
        <f t="shared" si="137"/>
        <v>9</v>
      </c>
      <c r="B610" s="1154" t="str">
        <f t="shared" si="137"/>
        <v>Various Civil schemes for Modernisations of colonies at Various Locations under Nasik HPC</v>
      </c>
      <c r="C610" s="1155" t="str">
        <f t="shared" si="137"/>
        <v>MERC/CAPEX/20162017/04757</v>
      </c>
      <c r="D610" s="1156">
        <f t="shared" si="137"/>
        <v>43061</v>
      </c>
      <c r="E610" s="1157">
        <f t="shared" si="137"/>
        <v>14.566664273199997</v>
      </c>
      <c r="F610" s="1158">
        <f t="shared" si="138"/>
        <v>0</v>
      </c>
      <c r="G610" s="1158">
        <f t="shared" si="139"/>
        <v>0</v>
      </c>
      <c r="H610" s="1158">
        <f t="shared" si="132"/>
        <v>0</v>
      </c>
      <c r="I610" s="1158">
        <v>0</v>
      </c>
      <c r="J610" s="1158">
        <v>0</v>
      </c>
      <c r="K610" s="1158"/>
      <c r="L610" s="1158"/>
      <c r="M610" s="1158">
        <f t="shared" si="133"/>
        <v>0</v>
      </c>
      <c r="N610" s="1158">
        <f t="shared" si="134"/>
        <v>0</v>
      </c>
      <c r="O610" s="1159">
        <f t="shared" ref="O610:O629" si="140">MAX(0,IF(M610=0,0,IF(G610+M610&lt;E610,M610,E610-G610)))</f>
        <v>0</v>
      </c>
      <c r="P610" s="1014">
        <f t="shared" ref="P610:P629" si="141">M610-O610</f>
        <v>0</v>
      </c>
    </row>
    <row r="611" spans="1:16" ht="46.5" outlineLevel="1" x14ac:dyDescent="0.25">
      <c r="A611" s="1160">
        <f t="shared" si="137"/>
        <v>9.1</v>
      </c>
      <c r="B611" s="1161" t="str">
        <f t="shared" si="137"/>
        <v>Part A: Refurbishment of quarters in colony, administartive buidings club building, guest house at various HPS under Nashik HPS</v>
      </c>
      <c r="C611" s="1162" t="str">
        <f t="shared" si="137"/>
        <v>MERC/CAPEX/20162017/04757</v>
      </c>
      <c r="D611" s="1081">
        <f t="shared" si="137"/>
        <v>43061</v>
      </c>
      <c r="E611" s="1163">
        <f t="shared" si="137"/>
        <v>3.7363539351999999</v>
      </c>
      <c r="F611" s="1177">
        <f t="shared" si="138"/>
        <v>3.6419878699999999</v>
      </c>
      <c r="G611" s="1177">
        <f t="shared" si="139"/>
        <v>4.2510011510000005</v>
      </c>
      <c r="H611" s="1177">
        <f t="shared" si="132"/>
        <v>-0.60901328100000063</v>
      </c>
      <c r="I611" s="1158">
        <v>0</v>
      </c>
      <c r="J611" s="1158">
        <v>0</v>
      </c>
      <c r="K611" s="1177"/>
      <c r="L611" s="1177"/>
      <c r="M611" s="1177">
        <f t="shared" si="133"/>
        <v>0</v>
      </c>
      <c r="N611" s="1177">
        <f t="shared" si="134"/>
        <v>-0.60901328100000063</v>
      </c>
      <c r="O611" s="1159">
        <f t="shared" si="140"/>
        <v>0</v>
      </c>
      <c r="P611" s="1014">
        <f t="shared" si="141"/>
        <v>0</v>
      </c>
    </row>
    <row r="612" spans="1:16" ht="31" outlineLevel="1" x14ac:dyDescent="0.25">
      <c r="A612" s="1160">
        <f t="shared" si="137"/>
        <v>9.1999999999999993</v>
      </c>
      <c r="B612" s="1161" t="str">
        <f t="shared" si="137"/>
        <v>Part B: Providing and laying water supply lines within colony and power house area at various HPS under Nashik HPS</v>
      </c>
      <c r="C612" s="1162" t="str">
        <f t="shared" si="137"/>
        <v>MERC/CAPEX/20162017/04757</v>
      </c>
      <c r="D612" s="1081">
        <f t="shared" si="137"/>
        <v>43061</v>
      </c>
      <c r="E612" s="1163">
        <f t="shared" si="137"/>
        <v>0.50088049999999995</v>
      </c>
      <c r="F612" s="1177">
        <f t="shared" si="138"/>
        <v>0.11901328100000001</v>
      </c>
      <c r="G612" s="1177">
        <f t="shared" si="139"/>
        <v>0.11901328100000001</v>
      </c>
      <c r="H612" s="1177">
        <f t="shared" si="132"/>
        <v>0</v>
      </c>
      <c r="I612" s="1158">
        <v>0</v>
      </c>
      <c r="J612" s="1158">
        <v>0</v>
      </c>
      <c r="K612" s="1177"/>
      <c r="L612" s="1177"/>
      <c r="M612" s="1177">
        <f t="shared" si="133"/>
        <v>0</v>
      </c>
      <c r="N612" s="1177">
        <f t="shared" si="134"/>
        <v>0</v>
      </c>
      <c r="O612" s="1159">
        <f t="shared" si="140"/>
        <v>0</v>
      </c>
      <c r="P612" s="1014">
        <f t="shared" si="141"/>
        <v>0</v>
      </c>
    </row>
    <row r="613" spans="1:16" ht="31" outlineLevel="1" x14ac:dyDescent="0.25">
      <c r="A613" s="1160">
        <f t="shared" si="137"/>
        <v>9.3000000000000007</v>
      </c>
      <c r="B613" s="1161" t="str">
        <f t="shared" si="137"/>
        <v>Part C: Construction of compund wall/chainlink fencing around colony and power house area at various HPS under Nashik HPS.</v>
      </c>
      <c r="C613" s="1162" t="str">
        <f t="shared" si="137"/>
        <v>MERC/CAPEX/20162017/04757</v>
      </c>
      <c r="D613" s="1081">
        <f t="shared" si="137"/>
        <v>43061</v>
      </c>
      <c r="E613" s="1163">
        <f t="shared" si="137"/>
        <v>0.74832697199999998</v>
      </c>
      <c r="F613" s="1177">
        <f t="shared" si="138"/>
        <v>0.17</v>
      </c>
      <c r="G613" s="1177">
        <f t="shared" si="139"/>
        <v>0.17</v>
      </c>
      <c r="H613" s="1177">
        <f t="shared" si="132"/>
        <v>0</v>
      </c>
      <c r="I613" s="1158">
        <v>0</v>
      </c>
      <c r="J613" s="1158">
        <v>0</v>
      </c>
      <c r="K613" s="1177"/>
      <c r="L613" s="1177"/>
      <c r="M613" s="1177">
        <f t="shared" si="133"/>
        <v>0</v>
      </c>
      <c r="N613" s="1177">
        <f t="shared" si="134"/>
        <v>0</v>
      </c>
      <c r="O613" s="1159">
        <f t="shared" si="140"/>
        <v>0</v>
      </c>
      <c r="P613" s="1014">
        <f t="shared" si="141"/>
        <v>0</v>
      </c>
    </row>
    <row r="614" spans="1:16" ht="62" outlineLevel="1" x14ac:dyDescent="0.25">
      <c r="A614" s="1160">
        <f t="shared" si="137"/>
        <v>9.4</v>
      </c>
      <c r="B614" s="1161" t="str">
        <f t="shared" si="137"/>
        <v>Part D: Providing &amp; relaying of existing internal roads within colony area and approach roads to power house &amp; construction of storm water gutter along road at various HPS under HPC Nashik</v>
      </c>
      <c r="C614" s="1162" t="str">
        <f t="shared" si="137"/>
        <v>MERC/CAPEX/20162017/04757</v>
      </c>
      <c r="D614" s="1081">
        <f t="shared" si="137"/>
        <v>43061</v>
      </c>
      <c r="E614" s="1163">
        <f t="shared" si="137"/>
        <v>9.5811028659999984</v>
      </c>
      <c r="F614" s="1177">
        <f t="shared" si="138"/>
        <v>4.0537161709999996</v>
      </c>
      <c r="G614" s="1177">
        <f t="shared" si="139"/>
        <v>4.0537161709999996</v>
      </c>
      <c r="H614" s="1177">
        <f t="shared" si="132"/>
        <v>0</v>
      </c>
      <c r="I614" s="1158">
        <v>0</v>
      </c>
      <c r="J614" s="1158">
        <v>0</v>
      </c>
      <c r="K614" s="1177"/>
      <c r="L614" s="1177"/>
      <c r="M614" s="1177">
        <f t="shared" si="133"/>
        <v>0</v>
      </c>
      <c r="N614" s="1177">
        <f t="shared" si="134"/>
        <v>0</v>
      </c>
      <c r="O614" s="1159">
        <f t="shared" si="140"/>
        <v>0</v>
      </c>
      <c r="P614" s="1014">
        <f t="shared" si="141"/>
        <v>0</v>
      </c>
    </row>
    <row r="615" spans="1:16" ht="46.5" outlineLevel="1" x14ac:dyDescent="0.25">
      <c r="A615" s="1153">
        <f t="shared" si="137"/>
        <v>10</v>
      </c>
      <c r="B615" s="1154" t="str">
        <f t="shared" si="137"/>
        <v>Upgradation of existing PLC system to latest symphony plus SCADA &amp; DCS system of Ghatghar HPS (2x125 MW) under HPS Nasik</v>
      </c>
      <c r="C615" s="1155" t="str">
        <f t="shared" si="137"/>
        <v>MERC/CAPEX/20172018/0198</v>
      </c>
      <c r="D615" s="1156">
        <f t="shared" si="137"/>
        <v>43137</v>
      </c>
      <c r="E615" s="1157">
        <f t="shared" si="137"/>
        <v>13.345000000000001</v>
      </c>
      <c r="F615" s="1158">
        <f t="shared" si="138"/>
        <v>0</v>
      </c>
      <c r="G615" s="1158">
        <f t="shared" si="139"/>
        <v>0</v>
      </c>
      <c r="H615" s="1158">
        <f t="shared" si="132"/>
        <v>0</v>
      </c>
      <c r="I615" s="1158">
        <v>0</v>
      </c>
      <c r="J615" s="1158">
        <v>0</v>
      </c>
      <c r="K615" s="1158"/>
      <c r="L615" s="1158"/>
      <c r="M615" s="1158">
        <f t="shared" si="133"/>
        <v>0</v>
      </c>
      <c r="N615" s="1158">
        <f t="shared" si="134"/>
        <v>0</v>
      </c>
      <c r="O615" s="1159">
        <f t="shared" si="140"/>
        <v>0</v>
      </c>
      <c r="P615" s="1014">
        <f t="shared" si="141"/>
        <v>0</v>
      </c>
    </row>
    <row r="616" spans="1:16" ht="46.5" outlineLevel="1" x14ac:dyDescent="0.25">
      <c r="A616" s="1160">
        <f t="shared" si="137"/>
        <v>10.1</v>
      </c>
      <c r="B616" s="1161" t="str">
        <f t="shared" si="137"/>
        <v>Upgradation of existing PLC system to latest symphony plus SCADA &amp; DCS system of Ghatghar HPS (2x125 MW) under HPS Nasik</v>
      </c>
      <c r="C616" s="1162" t="str">
        <f t="shared" si="137"/>
        <v>MERC/CAPEX/20172018/0198</v>
      </c>
      <c r="D616" s="1081">
        <f t="shared" si="137"/>
        <v>43137</v>
      </c>
      <c r="E616" s="1163">
        <f t="shared" si="137"/>
        <v>13.345000000000001</v>
      </c>
      <c r="F616" s="1177">
        <f t="shared" si="138"/>
        <v>14.55025</v>
      </c>
      <c r="G616" s="1177">
        <f t="shared" si="139"/>
        <v>14.55025</v>
      </c>
      <c r="H616" s="1177">
        <f t="shared" si="132"/>
        <v>0</v>
      </c>
      <c r="I616" s="1158">
        <v>0</v>
      </c>
      <c r="J616" s="1158">
        <v>0</v>
      </c>
      <c r="K616" s="1177"/>
      <c r="L616" s="1177"/>
      <c r="M616" s="1177">
        <f t="shared" si="133"/>
        <v>0</v>
      </c>
      <c r="N616" s="1177">
        <f t="shared" si="134"/>
        <v>0</v>
      </c>
      <c r="O616" s="1159">
        <f t="shared" si="140"/>
        <v>0</v>
      </c>
      <c r="P616" s="1014">
        <f t="shared" si="141"/>
        <v>0</v>
      </c>
    </row>
    <row r="617" spans="1:16" ht="31" outlineLevel="1" x14ac:dyDescent="0.25">
      <c r="A617" s="1153">
        <f t="shared" si="137"/>
        <v>14</v>
      </c>
      <c r="B617" s="1154" t="str">
        <f t="shared" si="137"/>
        <v>Various 14 Nos. of schemes for Hydro Power Stations under Renewable Energy Circle, Pune &amp; Nasik</v>
      </c>
      <c r="C617" s="1155" t="str">
        <f t="shared" si="137"/>
        <v>MERC/CAPEX/2020-21/WFH/SBR/ 19</v>
      </c>
      <c r="D617" s="1156">
        <f t="shared" si="137"/>
        <v>44029</v>
      </c>
      <c r="E617" s="1157">
        <f t="shared" si="137"/>
        <v>8.9129999999999985</v>
      </c>
      <c r="F617" s="1158">
        <f t="shared" si="138"/>
        <v>0</v>
      </c>
      <c r="G617" s="1158">
        <f t="shared" si="139"/>
        <v>0</v>
      </c>
      <c r="H617" s="1158">
        <f t="shared" si="132"/>
        <v>0</v>
      </c>
      <c r="I617" s="1158">
        <v>0</v>
      </c>
      <c r="J617" s="1158">
        <v>0</v>
      </c>
      <c r="K617" s="1158"/>
      <c r="L617" s="1158"/>
      <c r="M617" s="1158">
        <f t="shared" si="133"/>
        <v>0</v>
      </c>
      <c r="N617" s="1158">
        <f t="shared" si="134"/>
        <v>0</v>
      </c>
      <c r="O617" s="1159">
        <f t="shared" si="140"/>
        <v>0</v>
      </c>
      <c r="P617" s="1014">
        <f t="shared" si="141"/>
        <v>0</v>
      </c>
    </row>
    <row r="618" spans="1:16" ht="31" outlineLevel="1" x14ac:dyDescent="0.25">
      <c r="A618" s="1164">
        <f t="shared" si="137"/>
        <v>14.1</v>
      </c>
      <c r="B618" s="1161" t="str">
        <f t="shared" si="137"/>
        <v>Schme-C :Replacement of existing Energy meters by 0.2S Class Energy meters at various HPS.</v>
      </c>
      <c r="C618" s="1162" t="str">
        <f t="shared" si="137"/>
        <v>MERC/CAPEX/2020-21/WFH/SBR/ 19</v>
      </c>
      <c r="D618" s="1081">
        <f t="shared" si="137"/>
        <v>44029</v>
      </c>
      <c r="E618" s="1163">
        <f t="shared" si="137"/>
        <v>0.10199999999999999</v>
      </c>
      <c r="F618" s="1177">
        <f t="shared" si="138"/>
        <v>0</v>
      </c>
      <c r="G618" s="1177">
        <f t="shared" si="139"/>
        <v>0</v>
      </c>
      <c r="H618" s="1177">
        <f t="shared" si="132"/>
        <v>0</v>
      </c>
      <c r="I618" s="1158">
        <v>0</v>
      </c>
      <c r="J618" s="1158">
        <v>0</v>
      </c>
      <c r="K618" s="1177"/>
      <c r="L618" s="1177"/>
      <c r="M618" s="1177">
        <f t="shared" si="133"/>
        <v>0</v>
      </c>
      <c r="N618" s="1177">
        <f t="shared" si="134"/>
        <v>0</v>
      </c>
      <c r="O618" s="1159">
        <f t="shared" si="140"/>
        <v>0</v>
      </c>
      <c r="P618" s="1014">
        <f t="shared" si="141"/>
        <v>0</v>
      </c>
    </row>
    <row r="619" spans="1:16" ht="31" outlineLevel="1" x14ac:dyDescent="0.25">
      <c r="A619" s="1164">
        <f t="shared" si="137"/>
        <v>14.2</v>
      </c>
      <c r="B619" s="1161" t="str">
        <f t="shared" si="137"/>
        <v>Schme-F: Replacement of 220V / 300AH Float cum boost charger with integrated DCDB for Bhatsa Hydro Power Stn.</v>
      </c>
      <c r="C619" s="1162" t="str">
        <f t="shared" si="137"/>
        <v>MERC/CAPEX/2020-21/WFH/SBR/ 19</v>
      </c>
      <c r="D619" s="1081">
        <f t="shared" si="137"/>
        <v>44029</v>
      </c>
      <c r="E619" s="1163">
        <f t="shared" si="137"/>
        <v>0.17299999999999999</v>
      </c>
      <c r="F619" s="1177">
        <f t="shared" si="138"/>
        <v>0.11446000000000001</v>
      </c>
      <c r="G619" s="1177">
        <f t="shared" si="139"/>
        <v>0.11446000000000001</v>
      </c>
      <c r="H619" s="1177">
        <f t="shared" si="132"/>
        <v>0</v>
      </c>
      <c r="I619" s="1158">
        <v>0</v>
      </c>
      <c r="J619" s="1158">
        <v>0</v>
      </c>
      <c r="K619" s="1177"/>
      <c r="L619" s="1177"/>
      <c r="M619" s="1177">
        <f t="shared" si="133"/>
        <v>0</v>
      </c>
      <c r="N619" s="1177">
        <f t="shared" si="134"/>
        <v>0</v>
      </c>
      <c r="O619" s="1159">
        <f t="shared" si="140"/>
        <v>0</v>
      </c>
      <c r="P619" s="1014">
        <f t="shared" si="141"/>
        <v>0</v>
      </c>
    </row>
    <row r="620" spans="1:16" ht="31" outlineLevel="1" x14ac:dyDescent="0.25">
      <c r="A620" s="1164">
        <f t="shared" si="137"/>
        <v>14.3</v>
      </c>
      <c r="B620" s="1161" t="str">
        <f t="shared" si="137"/>
        <v>Schme-G: Replacement of 220V / 300AH Float cum boost charger with integrated DCDB for Surya Hydro Power Stn.</v>
      </c>
      <c r="C620" s="1162" t="str">
        <f t="shared" si="137"/>
        <v>MERC/CAPEX/2020-21/WFH/SBR/ 19</v>
      </c>
      <c r="D620" s="1081">
        <f t="shared" si="137"/>
        <v>44029</v>
      </c>
      <c r="E620" s="1163">
        <f t="shared" si="137"/>
        <v>0.17299999999999999</v>
      </c>
      <c r="F620" s="1177">
        <f t="shared" si="138"/>
        <v>0.11446000000000001</v>
      </c>
      <c r="G620" s="1177">
        <f t="shared" si="139"/>
        <v>0.11446000000000001</v>
      </c>
      <c r="H620" s="1177">
        <f t="shared" si="132"/>
        <v>0</v>
      </c>
      <c r="I620" s="1158">
        <v>0</v>
      </c>
      <c r="J620" s="1158">
        <v>0</v>
      </c>
      <c r="K620" s="1177"/>
      <c r="L620" s="1177"/>
      <c r="M620" s="1177">
        <f t="shared" si="133"/>
        <v>0</v>
      </c>
      <c r="N620" s="1177">
        <f t="shared" si="134"/>
        <v>0</v>
      </c>
      <c r="O620" s="1159">
        <f t="shared" si="140"/>
        <v>0</v>
      </c>
      <c r="P620" s="1014">
        <f t="shared" si="141"/>
        <v>0</v>
      </c>
    </row>
    <row r="621" spans="1:16" ht="29" outlineLevel="1" x14ac:dyDescent="0.25">
      <c r="A621" s="1164">
        <f t="shared" si="137"/>
        <v>14.4</v>
      </c>
      <c r="B621" s="1161" t="str">
        <f t="shared" si="137"/>
        <v>Schme-H: Supply 24 point Chartless recorder for Bhatsa HPS.</v>
      </c>
      <c r="C621" s="1162" t="str">
        <f t="shared" si="137"/>
        <v>MERC/CAPEX/2020-21/WFH/SBR/ 19</v>
      </c>
      <c r="D621" s="1081">
        <f t="shared" si="137"/>
        <v>44029</v>
      </c>
      <c r="E621" s="1163">
        <f t="shared" si="137"/>
        <v>5.8999999999999997E-2</v>
      </c>
      <c r="F621" s="1177">
        <f t="shared" si="138"/>
        <v>2.02455E-2</v>
      </c>
      <c r="G621" s="1177">
        <f t="shared" si="139"/>
        <v>2.02455E-2</v>
      </c>
      <c r="H621" s="1177">
        <f t="shared" si="132"/>
        <v>0</v>
      </c>
      <c r="I621" s="1158">
        <v>0</v>
      </c>
      <c r="J621" s="1158">
        <v>0</v>
      </c>
      <c r="K621" s="1177"/>
      <c r="L621" s="1177"/>
      <c r="M621" s="1177">
        <f t="shared" si="133"/>
        <v>0</v>
      </c>
      <c r="N621" s="1177">
        <f t="shared" si="134"/>
        <v>0</v>
      </c>
      <c r="O621" s="1159">
        <f t="shared" si="140"/>
        <v>0</v>
      </c>
      <c r="P621" s="1014">
        <f t="shared" si="141"/>
        <v>0</v>
      </c>
    </row>
    <row r="622" spans="1:16" ht="31" outlineLevel="1" x14ac:dyDescent="0.25">
      <c r="A622" s="1164">
        <f t="shared" si="137"/>
        <v>14.5</v>
      </c>
      <c r="B622" s="1161" t="str">
        <f t="shared" si="137"/>
        <v>Schme-I: Supply Erection, testing &amp; commissioning of Digital governing system for 06MW Surya HPS.</v>
      </c>
      <c r="C622" s="1162" t="str">
        <f t="shared" si="137"/>
        <v>MERC/CAPEX/2020-21/WFH/SBR/ 19</v>
      </c>
      <c r="D622" s="1081">
        <f t="shared" si="137"/>
        <v>44029</v>
      </c>
      <c r="E622" s="1163">
        <f t="shared" si="137"/>
        <v>1.954</v>
      </c>
      <c r="F622" s="1177">
        <f t="shared" si="138"/>
        <v>1.954</v>
      </c>
      <c r="G622" s="1177">
        <f t="shared" si="139"/>
        <v>1.954</v>
      </c>
      <c r="H622" s="1177">
        <f t="shared" si="132"/>
        <v>0</v>
      </c>
      <c r="I622" s="1158">
        <v>0</v>
      </c>
      <c r="J622" s="1158">
        <v>0</v>
      </c>
      <c r="K622" s="1177"/>
      <c r="L622" s="1177"/>
      <c r="M622" s="1177">
        <f t="shared" si="133"/>
        <v>0</v>
      </c>
      <c r="N622" s="1177">
        <f t="shared" si="134"/>
        <v>0</v>
      </c>
      <c r="O622" s="1159">
        <f t="shared" si="140"/>
        <v>0</v>
      </c>
      <c r="P622" s="1014">
        <f t="shared" si="141"/>
        <v>0</v>
      </c>
    </row>
    <row r="623" spans="1:16" ht="46.5" outlineLevel="1" x14ac:dyDescent="0.25">
      <c r="A623" s="1164">
        <f t="shared" ref="A623:E638" si="142">A525</f>
        <v>14.6</v>
      </c>
      <c r="B623" s="1161" t="str">
        <f t="shared" si="142"/>
        <v>Schme-J: Supply, Erection, testing &amp; commissioning of Digital governing system and Hydraulic oil pressure unit for 15 MW Bhatsa HPS.</v>
      </c>
      <c r="C623" s="1162" t="str">
        <f t="shared" si="142"/>
        <v>MERC/CAPEX/2020-21/WFH/SBR/ 19</v>
      </c>
      <c r="D623" s="1081">
        <f t="shared" si="142"/>
        <v>44029</v>
      </c>
      <c r="E623" s="1163">
        <f t="shared" si="142"/>
        <v>2.0270000000000001</v>
      </c>
      <c r="F623" s="1177">
        <f t="shared" si="138"/>
        <v>2.0502972000000002</v>
      </c>
      <c r="G623" s="1177">
        <f t="shared" si="139"/>
        <v>1.5936372000000001</v>
      </c>
      <c r="H623" s="1177">
        <f t="shared" si="132"/>
        <v>0.45666000000000007</v>
      </c>
      <c r="I623" s="1158">
        <v>0</v>
      </c>
      <c r="J623" s="1158">
        <v>0</v>
      </c>
      <c r="K623" s="1177"/>
      <c r="L623" s="1177"/>
      <c r="M623" s="1177">
        <f t="shared" si="133"/>
        <v>0</v>
      </c>
      <c r="N623" s="1177">
        <f t="shared" si="134"/>
        <v>0.45666000000000007</v>
      </c>
      <c r="O623" s="1159">
        <f t="shared" si="140"/>
        <v>0</v>
      </c>
      <c r="P623" s="1014">
        <f t="shared" si="141"/>
        <v>0</v>
      </c>
    </row>
    <row r="624" spans="1:16" ht="31" outlineLevel="1" x14ac:dyDescent="0.25">
      <c r="A624" s="1164">
        <f t="shared" si="142"/>
        <v>14.7</v>
      </c>
      <c r="B624" s="1161" t="str">
        <f t="shared" si="142"/>
        <v>Schme-K: Supply, Retrofitting, up gradation, Commissioning of Generator protection system at Paithan HPS.</v>
      </c>
      <c r="C624" s="1162" t="str">
        <f t="shared" si="142"/>
        <v>MERC/CAPEX/2020-21/WFH/SBR/ 19</v>
      </c>
      <c r="D624" s="1081">
        <f t="shared" si="142"/>
        <v>44029</v>
      </c>
      <c r="E624" s="1163">
        <f t="shared" si="142"/>
        <v>0.87</v>
      </c>
      <c r="F624" s="1177">
        <f t="shared" si="138"/>
        <v>0.87</v>
      </c>
      <c r="G624" s="1177">
        <f t="shared" si="139"/>
        <v>0.87</v>
      </c>
      <c r="H624" s="1177">
        <f t="shared" si="132"/>
        <v>0</v>
      </c>
      <c r="I624" s="1158">
        <v>0</v>
      </c>
      <c r="J624" s="1158">
        <v>0</v>
      </c>
      <c r="K624" s="1177"/>
      <c r="L624" s="1177"/>
      <c r="M624" s="1177">
        <f t="shared" si="133"/>
        <v>0</v>
      </c>
      <c r="N624" s="1177">
        <f t="shared" si="134"/>
        <v>0</v>
      </c>
      <c r="O624" s="1159">
        <f t="shared" si="140"/>
        <v>0</v>
      </c>
      <c r="P624" s="1014">
        <f t="shared" si="141"/>
        <v>0</v>
      </c>
    </row>
    <row r="625" spans="1:16" ht="31" outlineLevel="1" x14ac:dyDescent="0.25">
      <c r="A625" s="1164">
        <f t="shared" si="142"/>
        <v>14.8</v>
      </c>
      <c r="B625" s="1161" t="str">
        <f t="shared" si="142"/>
        <v>Schme-L: Replacement of existing compressor with new compressor (1 Nos.) at Paithan HPS</v>
      </c>
      <c r="C625" s="1162" t="str">
        <f t="shared" si="142"/>
        <v>MERC/CAPEX/2020-21/WFH/SBR/ 19</v>
      </c>
      <c r="D625" s="1081">
        <f t="shared" si="142"/>
        <v>44029</v>
      </c>
      <c r="E625" s="1163">
        <f t="shared" si="142"/>
        <v>0.46700000000000003</v>
      </c>
      <c r="F625" s="1177">
        <f t="shared" si="138"/>
        <v>0.46700000000000003</v>
      </c>
      <c r="G625" s="1177">
        <f t="shared" si="139"/>
        <v>0.46700000000000003</v>
      </c>
      <c r="H625" s="1177">
        <f t="shared" si="132"/>
        <v>0</v>
      </c>
      <c r="I625" s="1158">
        <v>0</v>
      </c>
      <c r="J625" s="1158">
        <v>0</v>
      </c>
      <c r="K625" s="1177"/>
      <c r="L625" s="1177"/>
      <c r="M625" s="1177">
        <f t="shared" si="133"/>
        <v>0</v>
      </c>
      <c r="N625" s="1177">
        <f t="shared" si="134"/>
        <v>0</v>
      </c>
      <c r="O625" s="1159">
        <f t="shared" si="140"/>
        <v>0</v>
      </c>
      <c r="P625" s="1014">
        <f t="shared" si="141"/>
        <v>0</v>
      </c>
    </row>
    <row r="626" spans="1:16" ht="46.5" outlineLevel="1" x14ac:dyDescent="0.25">
      <c r="A626" s="1164">
        <f t="shared" si="142"/>
        <v>14.9</v>
      </c>
      <c r="B626" s="1161" t="str">
        <f t="shared" si="142"/>
        <v>Schme-M: Retrofitting, up gradation &amp; Commissioning of Protection System for Generator, Transformer and Line at Surya Hydro Power Station</v>
      </c>
      <c r="C626" s="1162" t="str">
        <f t="shared" si="142"/>
        <v>MERC/CAPEX/2020-21/WFH/SBR/ 19</v>
      </c>
      <c r="D626" s="1081">
        <f t="shared" si="142"/>
        <v>44029</v>
      </c>
      <c r="E626" s="1163">
        <f t="shared" si="142"/>
        <v>0.69100000000000006</v>
      </c>
      <c r="F626" s="1177">
        <f t="shared" si="138"/>
        <v>0.69730939999999997</v>
      </c>
      <c r="G626" s="1177">
        <f t="shared" si="139"/>
        <v>0.68498999999999999</v>
      </c>
      <c r="H626" s="1177">
        <f t="shared" si="132"/>
        <v>1.231939999999998E-2</v>
      </c>
      <c r="I626" s="1158">
        <v>0</v>
      </c>
      <c r="J626" s="1158">
        <v>0</v>
      </c>
      <c r="K626" s="1177"/>
      <c r="L626" s="1177"/>
      <c r="M626" s="1177">
        <f t="shared" si="133"/>
        <v>0</v>
      </c>
      <c r="N626" s="1177">
        <f t="shared" si="134"/>
        <v>1.231939999999998E-2</v>
      </c>
      <c r="O626" s="1159">
        <f t="shared" si="140"/>
        <v>0</v>
      </c>
      <c r="P626" s="1014">
        <f t="shared" si="141"/>
        <v>0</v>
      </c>
    </row>
    <row r="627" spans="1:16" ht="31" outlineLevel="1" x14ac:dyDescent="0.25">
      <c r="A627" s="1165">
        <f t="shared" si="142"/>
        <v>14.1</v>
      </c>
      <c r="B627" s="1161" t="str">
        <f t="shared" si="142"/>
        <v>Schme-N: Procurement of Static excitation system at Surya Hydro Power Station.</v>
      </c>
      <c r="C627" s="1162" t="str">
        <f t="shared" si="142"/>
        <v>MERC/CAPEX/2020-21/WFH/SBR/ 19</v>
      </c>
      <c r="D627" s="1081">
        <f t="shared" si="142"/>
        <v>44029</v>
      </c>
      <c r="E627" s="1163">
        <f t="shared" si="142"/>
        <v>1.5469999999999999</v>
      </c>
      <c r="F627" s="1177">
        <f t="shared" si="138"/>
        <v>1.5469999999999999</v>
      </c>
      <c r="G627" s="1177">
        <f t="shared" si="139"/>
        <v>1.5469999999999999</v>
      </c>
      <c r="H627" s="1177">
        <f t="shared" si="132"/>
        <v>0</v>
      </c>
      <c r="I627" s="1158">
        <v>0</v>
      </c>
      <c r="J627" s="1158">
        <v>0</v>
      </c>
      <c r="K627" s="1177"/>
      <c r="L627" s="1177"/>
      <c r="M627" s="1177">
        <f t="shared" si="133"/>
        <v>0</v>
      </c>
      <c r="N627" s="1177">
        <f t="shared" si="134"/>
        <v>0</v>
      </c>
      <c r="O627" s="1159">
        <f t="shared" si="140"/>
        <v>0</v>
      </c>
      <c r="P627" s="1014">
        <f t="shared" si="141"/>
        <v>0</v>
      </c>
    </row>
    <row r="628" spans="1:16" ht="29" outlineLevel="1" x14ac:dyDescent="0.25">
      <c r="A628" s="1160">
        <f t="shared" si="142"/>
        <v>0</v>
      </c>
      <c r="B628" s="1161" t="str">
        <f t="shared" si="142"/>
        <v>IDC</v>
      </c>
      <c r="C628" s="1162" t="str">
        <f t="shared" si="142"/>
        <v>MERC/CAPEX/2020-21/WFH/SBR/ 19</v>
      </c>
      <c r="D628" s="1081">
        <f t="shared" si="142"/>
        <v>44029</v>
      </c>
      <c r="E628" s="1163">
        <f t="shared" si="142"/>
        <v>0.85</v>
      </c>
      <c r="F628" s="1177">
        <f t="shared" si="138"/>
        <v>0</v>
      </c>
      <c r="G628" s="1177">
        <f t="shared" si="139"/>
        <v>0</v>
      </c>
      <c r="H628" s="1177">
        <f t="shared" si="132"/>
        <v>0</v>
      </c>
      <c r="I628" s="1158">
        <v>0</v>
      </c>
      <c r="J628" s="1158">
        <v>0</v>
      </c>
      <c r="K628" s="1177"/>
      <c r="L628" s="1177"/>
      <c r="M628" s="1177">
        <f t="shared" si="133"/>
        <v>0</v>
      </c>
      <c r="N628" s="1177">
        <f t="shared" si="134"/>
        <v>0</v>
      </c>
      <c r="O628" s="1159">
        <f t="shared" si="140"/>
        <v>0</v>
      </c>
      <c r="P628" s="1014">
        <f t="shared" si="141"/>
        <v>0</v>
      </c>
    </row>
    <row r="629" spans="1:16" ht="15.5" outlineLevel="1" x14ac:dyDescent="0.25">
      <c r="A629" s="1160">
        <f t="shared" si="142"/>
        <v>0</v>
      </c>
      <c r="B629" s="1161">
        <f t="shared" si="142"/>
        <v>0</v>
      </c>
      <c r="C629" s="984">
        <f t="shared" si="142"/>
        <v>0</v>
      </c>
      <c r="D629" s="1081" t="str">
        <f t="shared" si="142"/>
        <v>-</v>
      </c>
      <c r="E629" s="1178">
        <f t="shared" si="142"/>
        <v>0</v>
      </c>
      <c r="F629" s="1179">
        <f t="shared" si="138"/>
        <v>0</v>
      </c>
      <c r="G629" s="1179">
        <f t="shared" si="139"/>
        <v>0</v>
      </c>
      <c r="H629" s="1179">
        <f t="shared" si="132"/>
        <v>0</v>
      </c>
      <c r="I629" s="1158">
        <v>0</v>
      </c>
      <c r="J629" s="1158">
        <v>0</v>
      </c>
      <c r="K629" s="1179"/>
      <c r="L629" s="1179"/>
      <c r="M629" s="1179">
        <f t="shared" si="133"/>
        <v>0</v>
      </c>
      <c r="N629" s="1179">
        <f t="shared" si="134"/>
        <v>0</v>
      </c>
      <c r="O629" s="1159">
        <f t="shared" si="140"/>
        <v>0</v>
      </c>
      <c r="P629" s="1014">
        <f t="shared" si="141"/>
        <v>0</v>
      </c>
    </row>
    <row r="630" spans="1:16" ht="15.5" outlineLevel="1" x14ac:dyDescent="0.25">
      <c r="A630" s="1047">
        <f t="shared" si="142"/>
        <v>0</v>
      </c>
      <c r="B630" s="1150" t="str">
        <f t="shared" si="142"/>
        <v>Yet to be approved by MERC (F Y 2024-25)</v>
      </c>
      <c r="C630" s="984">
        <f t="shared" si="142"/>
        <v>0</v>
      </c>
      <c r="D630" s="1081" t="str">
        <f t="shared" si="142"/>
        <v>-</v>
      </c>
      <c r="E630" s="1178">
        <f t="shared" si="142"/>
        <v>0</v>
      </c>
      <c r="F630" s="1179">
        <f t="shared" si="138"/>
        <v>0</v>
      </c>
      <c r="G630" s="1179">
        <f t="shared" si="139"/>
        <v>0</v>
      </c>
      <c r="H630" s="1179">
        <f t="shared" si="132"/>
        <v>0</v>
      </c>
      <c r="I630" s="1158">
        <v>0</v>
      </c>
      <c r="J630" s="1158">
        <v>0</v>
      </c>
      <c r="K630" s="1179"/>
      <c r="L630" s="1179"/>
      <c r="M630" s="1179">
        <f t="shared" si="133"/>
        <v>0</v>
      </c>
      <c r="N630" s="1179">
        <f t="shared" si="134"/>
        <v>0</v>
      </c>
    </row>
    <row r="631" spans="1:16" ht="46.5" outlineLevel="1" x14ac:dyDescent="0.25">
      <c r="A631" s="1044">
        <f t="shared" si="142"/>
        <v>1</v>
      </c>
      <c r="B631" s="1169" t="str">
        <f t="shared" si="142"/>
        <v xml:space="preserve">Post-facto DPR for “Urgent restoration and Life Enhancement
of Unit-1, 125MW M/s Fuji make Hydro Generator for
prolonged efficient operation at Ghatghar HPS                                            </v>
      </c>
      <c r="C631" s="1155">
        <f t="shared" si="142"/>
        <v>0</v>
      </c>
      <c r="D631" s="1156" t="str">
        <f t="shared" si="142"/>
        <v>-</v>
      </c>
      <c r="E631" s="1157">
        <f t="shared" si="142"/>
        <v>0</v>
      </c>
      <c r="F631" s="1180">
        <f t="shared" si="138"/>
        <v>14.34</v>
      </c>
      <c r="G631" s="1180">
        <f t="shared" si="139"/>
        <v>14.34</v>
      </c>
      <c r="H631" s="1180">
        <f t="shared" si="132"/>
        <v>0</v>
      </c>
      <c r="I631" s="1158">
        <v>0</v>
      </c>
      <c r="J631" s="1158">
        <v>0</v>
      </c>
      <c r="K631" s="1180"/>
      <c r="L631" s="1180"/>
      <c r="M631" s="1180">
        <f t="shared" si="133"/>
        <v>0</v>
      </c>
      <c r="N631" s="1180">
        <f t="shared" si="134"/>
        <v>0</v>
      </c>
    </row>
    <row r="632" spans="1:16" ht="31" outlineLevel="1" x14ac:dyDescent="0.25">
      <c r="A632" s="1044">
        <f t="shared" si="142"/>
        <v>2</v>
      </c>
      <c r="B632" s="1169" t="str">
        <f t="shared" si="142"/>
        <v>Dismantling and assembly of Unit-2 stator and other allied works at Ghatghar HPS</v>
      </c>
      <c r="C632" s="1162">
        <f t="shared" si="142"/>
        <v>0</v>
      </c>
      <c r="D632" s="1081" t="str">
        <f t="shared" si="142"/>
        <v>-</v>
      </c>
      <c r="E632" s="1163">
        <f t="shared" si="142"/>
        <v>0</v>
      </c>
      <c r="F632" s="1177">
        <f t="shared" si="138"/>
        <v>0.92</v>
      </c>
      <c r="G632" s="1177">
        <f t="shared" si="139"/>
        <v>0.92</v>
      </c>
      <c r="H632" s="1177">
        <f t="shared" si="132"/>
        <v>0</v>
      </c>
      <c r="I632" s="1158">
        <v>0</v>
      </c>
      <c r="J632" s="1158">
        <v>0</v>
      </c>
      <c r="K632" s="1177"/>
      <c r="L632" s="1177"/>
      <c r="M632" s="1177">
        <f t="shared" si="133"/>
        <v>0</v>
      </c>
      <c r="N632" s="1177">
        <f t="shared" si="134"/>
        <v>0</v>
      </c>
    </row>
    <row r="633" spans="1:16" ht="46.5" outlineLevel="1" x14ac:dyDescent="0.25">
      <c r="A633" s="1044">
        <f t="shared" si="142"/>
        <v>3</v>
      </c>
      <c r="B633" s="1169" t="str">
        <f t="shared" si="142"/>
        <v>Urgent restoration and Life Enhancement of Unit-2, 125MW M/s Fuji make Hydro Generator for prolonged efficient operation at Ghatghar HPS</v>
      </c>
      <c r="C633" s="1162">
        <f t="shared" si="142"/>
        <v>0</v>
      </c>
      <c r="D633" s="1081" t="str">
        <f t="shared" si="142"/>
        <v>-</v>
      </c>
      <c r="E633" s="1163">
        <f t="shared" si="142"/>
        <v>0</v>
      </c>
      <c r="F633" s="1177">
        <f t="shared" si="138"/>
        <v>12.69</v>
      </c>
      <c r="G633" s="1177">
        <f t="shared" si="139"/>
        <v>12.69</v>
      </c>
      <c r="H633" s="1177">
        <f t="shared" si="132"/>
        <v>0</v>
      </c>
      <c r="I633" s="1158">
        <v>0</v>
      </c>
      <c r="J633" s="1158">
        <v>0</v>
      </c>
      <c r="K633" s="1177"/>
      <c r="L633" s="1177"/>
      <c r="M633" s="1177">
        <f t="shared" si="133"/>
        <v>0</v>
      </c>
      <c r="N633" s="1177">
        <f t="shared" si="134"/>
        <v>0</v>
      </c>
    </row>
    <row r="634" spans="1:16" ht="31" outlineLevel="1" x14ac:dyDescent="0.25">
      <c r="A634" s="1168">
        <f t="shared" si="142"/>
        <v>4</v>
      </c>
      <c r="B634" s="1169" t="str">
        <f t="shared" si="142"/>
        <v>Work of unit 2 stator core top lamination replacement work of GHPS</v>
      </c>
      <c r="C634" s="1162">
        <f t="shared" si="142"/>
        <v>0</v>
      </c>
      <c r="D634" s="1081" t="str">
        <f t="shared" si="142"/>
        <v>-</v>
      </c>
      <c r="E634" s="1163">
        <f t="shared" si="142"/>
        <v>0</v>
      </c>
      <c r="F634" s="1177">
        <f t="shared" si="138"/>
        <v>1.57</v>
      </c>
      <c r="G634" s="1177">
        <f t="shared" si="139"/>
        <v>1.57</v>
      </c>
      <c r="H634" s="1177">
        <f t="shared" si="132"/>
        <v>0</v>
      </c>
      <c r="I634" s="1158">
        <v>0</v>
      </c>
      <c r="J634" s="1158">
        <v>0</v>
      </c>
      <c r="K634" s="1177"/>
      <c r="L634" s="1177"/>
      <c r="M634" s="1177">
        <f t="shared" si="133"/>
        <v>0</v>
      </c>
      <c r="N634" s="1177">
        <f t="shared" si="134"/>
        <v>0</v>
      </c>
    </row>
    <row r="635" spans="1:16" ht="15.5" outlineLevel="1" x14ac:dyDescent="0.25">
      <c r="A635" s="1011">
        <f t="shared" si="142"/>
        <v>0</v>
      </c>
      <c r="B635" s="1150" t="str">
        <f t="shared" si="142"/>
        <v>(ii) Yet to be submitted to MERC(F Y 2025-26)</v>
      </c>
      <c r="C635" s="1162">
        <f t="shared" si="142"/>
        <v>0</v>
      </c>
      <c r="D635" s="1081" t="str">
        <f t="shared" si="142"/>
        <v>-</v>
      </c>
      <c r="E635" s="1163">
        <f t="shared" si="142"/>
        <v>0</v>
      </c>
      <c r="F635" s="1177">
        <f t="shared" si="138"/>
        <v>0</v>
      </c>
      <c r="G635" s="1177">
        <f t="shared" si="139"/>
        <v>0</v>
      </c>
      <c r="H635" s="1177">
        <f t="shared" si="132"/>
        <v>0</v>
      </c>
      <c r="I635" s="1158">
        <v>0</v>
      </c>
      <c r="J635" s="1158">
        <v>0</v>
      </c>
      <c r="K635" s="1177"/>
      <c r="L635" s="1177"/>
      <c r="M635" s="1177">
        <f t="shared" si="133"/>
        <v>0</v>
      </c>
      <c r="N635" s="1177">
        <f t="shared" si="134"/>
        <v>0</v>
      </c>
    </row>
    <row r="636" spans="1:16" ht="15.5" outlineLevel="1" x14ac:dyDescent="0.25">
      <c r="A636" s="1011">
        <f t="shared" si="142"/>
        <v>0</v>
      </c>
      <c r="B636" s="1150" t="str">
        <f t="shared" si="142"/>
        <v>DPR 1</v>
      </c>
      <c r="C636" s="1162">
        <f t="shared" si="142"/>
        <v>0</v>
      </c>
      <c r="D636" s="1081" t="str">
        <f t="shared" si="142"/>
        <v>-</v>
      </c>
      <c r="E636" s="1163">
        <f t="shared" si="142"/>
        <v>0</v>
      </c>
      <c r="F636" s="1177">
        <f t="shared" si="138"/>
        <v>0</v>
      </c>
      <c r="G636" s="1177">
        <f t="shared" si="139"/>
        <v>0</v>
      </c>
      <c r="H636" s="1177">
        <f t="shared" si="132"/>
        <v>0</v>
      </c>
      <c r="I636" s="1158">
        <v>0</v>
      </c>
      <c r="J636" s="1158">
        <v>0</v>
      </c>
      <c r="K636" s="1177"/>
      <c r="L636" s="1177"/>
      <c r="M636" s="1177">
        <f t="shared" si="133"/>
        <v>0</v>
      </c>
      <c r="N636" s="1177">
        <f t="shared" si="134"/>
        <v>0</v>
      </c>
    </row>
    <row r="637" spans="1:16" ht="31" outlineLevel="1" x14ac:dyDescent="0.25">
      <c r="A637" s="1160">
        <f t="shared" si="142"/>
        <v>1</v>
      </c>
      <c r="B637" s="1169" t="str">
        <f t="shared" si="142"/>
        <v xml:space="preserve">Procurement &amp; commissioning of Battery bank, 55 cells of 2V  2035AH YHP39 Exide make at Ghatghar HPS </v>
      </c>
      <c r="C637" s="1162">
        <f t="shared" si="142"/>
        <v>0</v>
      </c>
      <c r="D637" s="1081" t="str">
        <f t="shared" si="142"/>
        <v>-</v>
      </c>
      <c r="E637" s="1163">
        <f t="shared" si="142"/>
        <v>0</v>
      </c>
      <c r="F637" s="1177">
        <f t="shared" si="138"/>
        <v>1.25</v>
      </c>
      <c r="G637" s="1177">
        <f t="shared" si="139"/>
        <v>1.25</v>
      </c>
      <c r="H637" s="1177">
        <f t="shared" si="132"/>
        <v>0</v>
      </c>
      <c r="I637" s="1158">
        <v>0</v>
      </c>
      <c r="J637" s="1158">
        <v>0</v>
      </c>
      <c r="K637" s="1177"/>
      <c r="L637" s="1177"/>
      <c r="M637" s="1177">
        <f t="shared" si="133"/>
        <v>0</v>
      </c>
      <c r="N637" s="1177">
        <f t="shared" si="134"/>
        <v>0</v>
      </c>
    </row>
    <row r="638" spans="1:16" ht="31" outlineLevel="1" x14ac:dyDescent="0.25">
      <c r="A638" s="1160">
        <f t="shared" si="142"/>
        <v>2</v>
      </c>
      <c r="B638" s="1169" t="str">
        <f t="shared" si="142"/>
        <v xml:space="preserve">Complete refurbishment of Stator frame , core &amp; winding of 01 No generator stator at Ghatghar HPS. </v>
      </c>
      <c r="C638" s="1162">
        <f t="shared" si="142"/>
        <v>0</v>
      </c>
      <c r="D638" s="1081" t="str">
        <f t="shared" si="142"/>
        <v>-</v>
      </c>
      <c r="E638" s="1163">
        <f t="shared" si="142"/>
        <v>0</v>
      </c>
      <c r="F638" s="1177">
        <f t="shared" si="138"/>
        <v>23.9</v>
      </c>
      <c r="G638" s="1177">
        <f t="shared" si="139"/>
        <v>23.9</v>
      </c>
      <c r="H638" s="1177">
        <f t="shared" si="132"/>
        <v>0</v>
      </c>
      <c r="I638" s="1158">
        <v>0</v>
      </c>
      <c r="J638" s="1158">
        <v>0</v>
      </c>
      <c r="K638" s="1177"/>
      <c r="L638" s="1177"/>
      <c r="M638" s="1177">
        <f t="shared" si="133"/>
        <v>0</v>
      </c>
      <c r="N638" s="1177">
        <f t="shared" si="134"/>
        <v>0</v>
      </c>
    </row>
    <row r="639" spans="1:16" ht="15.5" outlineLevel="1" x14ac:dyDescent="0.25">
      <c r="A639" s="1160">
        <f t="shared" ref="A639:E654" si="143">A541</f>
        <v>3</v>
      </c>
      <c r="B639" s="1169" t="str">
        <f t="shared" si="143"/>
        <v xml:space="preserve">Generator Circuit breaker Electrical OH at Ghatghar HPS. </v>
      </c>
      <c r="C639" s="1162">
        <f t="shared" si="143"/>
        <v>0</v>
      </c>
      <c r="D639" s="1156" t="str">
        <f t="shared" si="143"/>
        <v>-</v>
      </c>
      <c r="E639" s="1157">
        <f t="shared" si="143"/>
        <v>0</v>
      </c>
      <c r="F639" s="1180">
        <f t="shared" si="138"/>
        <v>7.2</v>
      </c>
      <c r="G639" s="1180">
        <f t="shared" si="139"/>
        <v>7.2</v>
      </c>
      <c r="H639" s="1180">
        <f t="shared" si="132"/>
        <v>0</v>
      </c>
      <c r="I639" s="1158">
        <v>0</v>
      </c>
      <c r="J639" s="1158">
        <v>0</v>
      </c>
      <c r="K639" s="1180"/>
      <c r="L639" s="1180"/>
      <c r="M639" s="1180">
        <f t="shared" si="133"/>
        <v>0</v>
      </c>
      <c r="N639" s="1180">
        <f t="shared" si="134"/>
        <v>0</v>
      </c>
    </row>
    <row r="640" spans="1:16" ht="15.5" outlineLevel="1" x14ac:dyDescent="0.25">
      <c r="A640" s="1160">
        <f t="shared" si="143"/>
        <v>4</v>
      </c>
      <c r="B640" s="1169" t="str">
        <f t="shared" si="143"/>
        <v xml:space="preserve">Water filter treatment plant and pipeline at Ghatghar HPS. </v>
      </c>
      <c r="C640" s="1162">
        <f t="shared" si="143"/>
        <v>0</v>
      </c>
      <c r="D640" s="1081" t="str">
        <f t="shared" si="143"/>
        <v>-</v>
      </c>
      <c r="E640" s="1163">
        <f t="shared" si="143"/>
        <v>0</v>
      </c>
      <c r="F640" s="1177">
        <f t="shared" si="138"/>
        <v>1.25</v>
      </c>
      <c r="G640" s="1177">
        <f t="shared" si="139"/>
        <v>1.25</v>
      </c>
      <c r="H640" s="1177">
        <f t="shared" si="132"/>
        <v>0</v>
      </c>
      <c r="I640" s="1158">
        <v>0</v>
      </c>
      <c r="J640" s="1158">
        <v>0</v>
      </c>
      <c r="K640" s="1177"/>
      <c r="L640" s="1177"/>
      <c r="M640" s="1177">
        <f t="shared" si="133"/>
        <v>0</v>
      </c>
      <c r="N640" s="1177">
        <f t="shared" si="134"/>
        <v>0</v>
      </c>
    </row>
    <row r="641" spans="1:14" ht="15.5" outlineLevel="1" x14ac:dyDescent="0.25">
      <c r="A641" s="1160">
        <f t="shared" si="143"/>
        <v>0</v>
      </c>
      <c r="B641" s="1150" t="str">
        <f t="shared" si="143"/>
        <v>DPR 2</v>
      </c>
      <c r="C641" s="1162">
        <f t="shared" si="143"/>
        <v>0</v>
      </c>
      <c r="D641" s="1081" t="str">
        <f t="shared" si="143"/>
        <v>-</v>
      </c>
      <c r="E641" s="1163">
        <f t="shared" si="143"/>
        <v>0</v>
      </c>
      <c r="F641" s="1177">
        <f t="shared" si="138"/>
        <v>0</v>
      </c>
      <c r="G641" s="1177">
        <f t="shared" si="139"/>
        <v>0</v>
      </c>
      <c r="H641" s="1177">
        <f t="shared" si="132"/>
        <v>0</v>
      </c>
      <c r="I641" s="1158">
        <v>0</v>
      </c>
      <c r="J641" s="1158">
        <v>0</v>
      </c>
      <c r="K641" s="1177"/>
      <c r="L641" s="1177"/>
      <c r="M641" s="1177">
        <f t="shared" si="133"/>
        <v>0</v>
      </c>
      <c r="N641" s="1177">
        <f t="shared" si="134"/>
        <v>0</v>
      </c>
    </row>
    <row r="642" spans="1:14" ht="31" outlineLevel="1" x14ac:dyDescent="0.25">
      <c r="A642" s="1011">
        <f t="shared" si="143"/>
        <v>1</v>
      </c>
      <c r="B642" s="1170" t="str">
        <f t="shared" si="143"/>
        <v xml:space="preserve">Design,supply,errection,testing &amp; commissioning of  digital governing system at Paithan HPS.                        </v>
      </c>
      <c r="C642" s="1162">
        <f t="shared" si="143"/>
        <v>0</v>
      </c>
      <c r="D642" s="1081" t="str">
        <f t="shared" si="143"/>
        <v>-</v>
      </c>
      <c r="E642" s="1163">
        <f t="shared" si="143"/>
        <v>0</v>
      </c>
      <c r="F642" s="1177">
        <f t="shared" si="138"/>
        <v>4.5</v>
      </c>
      <c r="G642" s="1177">
        <f t="shared" si="139"/>
        <v>4.5</v>
      </c>
      <c r="H642" s="1177">
        <f t="shared" si="132"/>
        <v>0</v>
      </c>
      <c r="I642" s="1158">
        <v>0</v>
      </c>
      <c r="J642" s="1158">
        <v>0</v>
      </c>
      <c r="K642" s="1177"/>
      <c r="L642" s="1177"/>
      <c r="M642" s="1177">
        <f t="shared" si="133"/>
        <v>0</v>
      </c>
      <c r="N642" s="1177">
        <f t="shared" si="134"/>
        <v>0</v>
      </c>
    </row>
    <row r="643" spans="1:14" ht="31" outlineLevel="1" x14ac:dyDescent="0.25">
      <c r="A643" s="1011">
        <f t="shared" si="143"/>
        <v>2</v>
      </c>
      <c r="B643" s="1169" t="str">
        <f t="shared" si="143"/>
        <v xml:space="preserve">Design,Supply ,testing ,erection and commissioing of DAVR system at Paithan HPS.                                                     </v>
      </c>
      <c r="C643" s="1162">
        <f t="shared" si="143"/>
        <v>0</v>
      </c>
      <c r="D643" s="1081" t="str">
        <f t="shared" si="143"/>
        <v>-</v>
      </c>
      <c r="E643" s="1163">
        <f t="shared" si="143"/>
        <v>0</v>
      </c>
      <c r="F643" s="1177">
        <f t="shared" si="138"/>
        <v>2</v>
      </c>
      <c r="G643" s="1177">
        <f t="shared" si="139"/>
        <v>2</v>
      </c>
      <c r="H643" s="1177">
        <f t="shared" si="132"/>
        <v>0</v>
      </c>
      <c r="I643" s="1158">
        <v>0</v>
      </c>
      <c r="J643" s="1158">
        <v>0</v>
      </c>
      <c r="K643" s="1177"/>
      <c r="L643" s="1177"/>
      <c r="M643" s="1177">
        <f t="shared" si="133"/>
        <v>0</v>
      </c>
      <c r="N643" s="1177">
        <f t="shared" si="134"/>
        <v>0</v>
      </c>
    </row>
    <row r="644" spans="1:14" ht="31" outlineLevel="1" x14ac:dyDescent="0.25">
      <c r="A644" s="1011">
        <f t="shared" si="143"/>
        <v>3</v>
      </c>
      <c r="B644" s="1169" t="str">
        <f t="shared" si="143"/>
        <v xml:space="preserve">Design,supply,testing ,erection and commissioing of DCS control system at Paithan HPS.                                                       </v>
      </c>
      <c r="C644" s="1162">
        <f t="shared" si="143"/>
        <v>0</v>
      </c>
      <c r="D644" s="1081" t="str">
        <f t="shared" si="143"/>
        <v>-</v>
      </c>
      <c r="E644" s="1163">
        <f t="shared" si="143"/>
        <v>0</v>
      </c>
      <c r="F644" s="1177">
        <f t="shared" si="138"/>
        <v>1.7</v>
      </c>
      <c r="G644" s="1177">
        <f t="shared" si="139"/>
        <v>1.7</v>
      </c>
      <c r="H644" s="1177">
        <f t="shared" si="132"/>
        <v>0</v>
      </c>
      <c r="I644" s="1158">
        <v>0</v>
      </c>
      <c r="J644" s="1158">
        <v>0</v>
      </c>
      <c r="K644" s="1177"/>
      <c r="L644" s="1177"/>
      <c r="M644" s="1177">
        <f t="shared" si="133"/>
        <v>0</v>
      </c>
      <c r="N644" s="1177">
        <f t="shared" si="134"/>
        <v>0</v>
      </c>
    </row>
    <row r="645" spans="1:14" ht="31" outlineLevel="1" x14ac:dyDescent="0.25">
      <c r="A645" s="1011">
        <f t="shared" si="143"/>
        <v>4</v>
      </c>
      <c r="B645" s="1169" t="str">
        <f t="shared" si="143"/>
        <v xml:space="preserve">Design,supply ,testing ,erection and commissioing of Automated Co2 fire extinguishers system  at Paithan HPS.                                         </v>
      </c>
      <c r="C645" s="1162">
        <f t="shared" si="143"/>
        <v>0</v>
      </c>
      <c r="D645" s="1081" t="str">
        <f t="shared" si="143"/>
        <v>-</v>
      </c>
      <c r="E645" s="1163">
        <f t="shared" si="143"/>
        <v>0</v>
      </c>
      <c r="F645" s="1177">
        <f t="shared" si="138"/>
        <v>0.35</v>
      </c>
      <c r="G645" s="1177">
        <f t="shared" si="139"/>
        <v>0.35</v>
      </c>
      <c r="H645" s="1177">
        <f t="shared" si="132"/>
        <v>0</v>
      </c>
      <c r="I645" s="1158">
        <v>0</v>
      </c>
      <c r="J645" s="1158">
        <v>0</v>
      </c>
      <c r="K645" s="1177"/>
      <c r="L645" s="1177"/>
      <c r="M645" s="1177">
        <f t="shared" si="133"/>
        <v>0</v>
      </c>
      <c r="N645" s="1177">
        <f t="shared" si="134"/>
        <v>0</v>
      </c>
    </row>
    <row r="646" spans="1:14" ht="31" outlineLevel="1" x14ac:dyDescent="0.25">
      <c r="A646" s="1011">
        <f t="shared" si="143"/>
        <v>5</v>
      </c>
      <c r="B646" s="1169" t="str">
        <f t="shared" si="143"/>
        <v xml:space="preserve">Design,Supply ,testing ,erection and commissioing of Numerical protection system at Yeldari HPS.                                        </v>
      </c>
      <c r="C646" s="1162">
        <f t="shared" si="143"/>
        <v>0</v>
      </c>
      <c r="D646" s="1081" t="str">
        <f t="shared" si="143"/>
        <v>-</v>
      </c>
      <c r="E646" s="1163">
        <f t="shared" si="143"/>
        <v>0</v>
      </c>
      <c r="F646" s="1177">
        <f t="shared" si="138"/>
        <v>2.5499999999999998</v>
      </c>
      <c r="G646" s="1177">
        <f t="shared" si="139"/>
        <v>2.5499999999999998</v>
      </c>
      <c r="H646" s="1177">
        <f t="shared" si="132"/>
        <v>0</v>
      </c>
      <c r="I646" s="1158">
        <v>0</v>
      </c>
      <c r="J646" s="1158">
        <v>0</v>
      </c>
      <c r="K646" s="1177"/>
      <c r="L646" s="1177"/>
      <c r="M646" s="1177">
        <f t="shared" si="133"/>
        <v>0</v>
      </c>
      <c r="N646" s="1177">
        <f t="shared" si="134"/>
        <v>0</v>
      </c>
    </row>
    <row r="647" spans="1:14" ht="31" outlineLevel="1" x14ac:dyDescent="0.25">
      <c r="A647" s="1011">
        <f t="shared" si="143"/>
        <v>6</v>
      </c>
      <c r="B647" s="1169" t="str">
        <f t="shared" si="143"/>
        <v xml:space="preserve">Design,Supply ,testing ,erection and commissioing of C&amp;I control &amp; measurement with SCADA at Yeldari HPS.                                                           </v>
      </c>
      <c r="C647" s="1162">
        <f t="shared" si="143"/>
        <v>0</v>
      </c>
      <c r="D647" s="1081" t="str">
        <f t="shared" si="143"/>
        <v>-</v>
      </c>
      <c r="E647" s="1163">
        <f t="shared" si="143"/>
        <v>0</v>
      </c>
      <c r="F647" s="1177">
        <f t="shared" si="138"/>
        <v>1</v>
      </c>
      <c r="G647" s="1177">
        <f t="shared" si="139"/>
        <v>1</v>
      </c>
      <c r="H647" s="1177">
        <f t="shared" si="132"/>
        <v>0</v>
      </c>
      <c r="I647" s="1158">
        <v>0</v>
      </c>
      <c r="J647" s="1158">
        <v>0</v>
      </c>
      <c r="K647" s="1177"/>
      <c r="L647" s="1177"/>
      <c r="M647" s="1177">
        <f t="shared" si="133"/>
        <v>0</v>
      </c>
      <c r="N647" s="1177">
        <f t="shared" si="134"/>
        <v>0</v>
      </c>
    </row>
    <row r="648" spans="1:14" ht="31" outlineLevel="1" x14ac:dyDescent="0.25">
      <c r="A648" s="1011">
        <f t="shared" si="143"/>
        <v>7</v>
      </c>
      <c r="B648" s="1169" t="str">
        <f t="shared" si="143"/>
        <v xml:space="preserve">Design,Supply ,testing ,erection and commissioing of DAVR system at Yeldari HPS                                                        </v>
      </c>
      <c r="C648" s="1162">
        <f t="shared" si="143"/>
        <v>0</v>
      </c>
      <c r="D648" s="1081" t="str">
        <f t="shared" si="143"/>
        <v>-</v>
      </c>
      <c r="E648" s="1163">
        <f t="shared" si="143"/>
        <v>0</v>
      </c>
      <c r="F648" s="1177">
        <f t="shared" si="138"/>
        <v>6</v>
      </c>
      <c r="G648" s="1177">
        <f t="shared" si="139"/>
        <v>6</v>
      </c>
      <c r="H648" s="1177">
        <f t="shared" si="132"/>
        <v>0</v>
      </c>
      <c r="I648" s="1158">
        <v>0</v>
      </c>
      <c r="J648" s="1158">
        <v>0</v>
      </c>
      <c r="K648" s="1177"/>
      <c r="L648" s="1177"/>
      <c r="M648" s="1177">
        <f t="shared" si="133"/>
        <v>0</v>
      </c>
      <c r="N648" s="1177">
        <f t="shared" si="134"/>
        <v>0</v>
      </c>
    </row>
    <row r="649" spans="1:14" ht="31" outlineLevel="1" x14ac:dyDescent="0.25">
      <c r="A649" s="1011">
        <f t="shared" si="143"/>
        <v>8</v>
      </c>
      <c r="B649" s="1169" t="str">
        <f t="shared" si="143"/>
        <v xml:space="preserve">Design,supply,errection,testing &amp; commissioning of  digital governing system at Yeldari HPS.                                           </v>
      </c>
      <c r="C649" s="1162">
        <f t="shared" si="143"/>
        <v>0</v>
      </c>
      <c r="D649" s="1081" t="str">
        <f t="shared" si="143"/>
        <v>-</v>
      </c>
      <c r="E649" s="1163">
        <f t="shared" si="143"/>
        <v>0</v>
      </c>
      <c r="F649" s="1177">
        <f t="shared" si="138"/>
        <v>7</v>
      </c>
      <c r="G649" s="1177">
        <f t="shared" si="139"/>
        <v>7</v>
      </c>
      <c r="H649" s="1177">
        <f t="shared" si="132"/>
        <v>0</v>
      </c>
      <c r="I649" s="1158">
        <v>0</v>
      </c>
      <c r="J649" s="1158">
        <v>0</v>
      </c>
      <c r="K649" s="1177"/>
      <c r="L649" s="1177"/>
      <c r="M649" s="1177">
        <f t="shared" si="133"/>
        <v>0</v>
      </c>
      <c r="N649" s="1177">
        <f t="shared" si="134"/>
        <v>0</v>
      </c>
    </row>
    <row r="650" spans="1:14" ht="15.5" outlineLevel="1" x14ac:dyDescent="0.25">
      <c r="A650" s="1168">
        <f t="shared" si="143"/>
        <v>0</v>
      </c>
      <c r="B650" s="1150" t="str">
        <f t="shared" si="143"/>
        <v>DPR 3 (CIVIL)</v>
      </c>
      <c r="C650" s="1162">
        <f t="shared" si="143"/>
        <v>0</v>
      </c>
      <c r="D650" s="1081" t="str">
        <f t="shared" si="143"/>
        <v>-</v>
      </c>
      <c r="E650" s="1163">
        <f t="shared" si="143"/>
        <v>0</v>
      </c>
      <c r="F650" s="1177">
        <f t="shared" si="138"/>
        <v>0</v>
      </c>
      <c r="G650" s="1177">
        <f t="shared" si="139"/>
        <v>0</v>
      </c>
      <c r="H650" s="1177">
        <f t="shared" si="132"/>
        <v>0</v>
      </c>
      <c r="I650" s="1158">
        <v>0</v>
      </c>
      <c r="J650" s="1158">
        <v>0</v>
      </c>
      <c r="K650" s="1177"/>
      <c r="L650" s="1177"/>
      <c r="M650" s="1177">
        <f t="shared" si="133"/>
        <v>0</v>
      </c>
      <c r="N650" s="1177">
        <f t="shared" si="134"/>
        <v>0</v>
      </c>
    </row>
    <row r="651" spans="1:14" ht="31" outlineLevel="1" x14ac:dyDescent="0.25">
      <c r="A651" s="1011">
        <f t="shared" si="143"/>
        <v>1</v>
      </c>
      <c r="B651" s="1169" t="str">
        <f t="shared" si="143"/>
        <v>Fortification and Rock fall protection Measures in Vaitarna Hydro Electric Power Project  Premises ,Tal- Igatpuri , Dist-Nashik.</v>
      </c>
      <c r="C651" s="1162">
        <f t="shared" si="143"/>
        <v>0</v>
      </c>
      <c r="D651" s="1081" t="str">
        <f t="shared" si="143"/>
        <v>-</v>
      </c>
      <c r="E651" s="1163">
        <f t="shared" si="143"/>
        <v>0</v>
      </c>
      <c r="F651" s="1177">
        <f t="shared" si="138"/>
        <v>36.53</v>
      </c>
      <c r="G651" s="1177">
        <f t="shared" si="139"/>
        <v>36.53</v>
      </c>
      <c r="H651" s="1177">
        <f t="shared" si="132"/>
        <v>0</v>
      </c>
      <c r="I651" s="1158">
        <v>0</v>
      </c>
      <c r="J651" s="1158">
        <v>0</v>
      </c>
      <c r="K651" s="1177"/>
      <c r="L651" s="1177"/>
      <c r="M651" s="1177">
        <f t="shared" si="133"/>
        <v>0</v>
      </c>
      <c r="N651" s="1177">
        <f t="shared" si="134"/>
        <v>0</v>
      </c>
    </row>
    <row r="652" spans="1:14" ht="31" outlineLevel="1" x14ac:dyDescent="0.25">
      <c r="A652" s="1011">
        <f t="shared" si="143"/>
        <v>2</v>
      </c>
      <c r="B652" s="1169" t="str">
        <f t="shared" si="143"/>
        <v>Work of construction of Bituminous approach road to Portal Switchyard at Vaitarna HPS.</v>
      </c>
      <c r="C652" s="1162">
        <f t="shared" si="143"/>
        <v>0</v>
      </c>
      <c r="D652" s="1081" t="str">
        <f t="shared" si="143"/>
        <v>-</v>
      </c>
      <c r="E652" s="1163">
        <f t="shared" si="143"/>
        <v>0</v>
      </c>
      <c r="F652" s="1177">
        <f t="shared" si="138"/>
        <v>2.77</v>
      </c>
      <c r="G652" s="1177">
        <f t="shared" si="139"/>
        <v>2.77</v>
      </c>
      <c r="H652" s="1177">
        <f t="shared" si="132"/>
        <v>0</v>
      </c>
      <c r="I652" s="1158">
        <v>0</v>
      </c>
      <c r="J652" s="1158">
        <v>0</v>
      </c>
      <c r="K652" s="1177"/>
      <c r="L652" s="1177"/>
      <c r="M652" s="1177">
        <f t="shared" si="133"/>
        <v>0</v>
      </c>
      <c r="N652" s="1177">
        <f t="shared" si="134"/>
        <v>0</v>
      </c>
    </row>
    <row r="653" spans="1:14" ht="31" outlineLevel="1" x14ac:dyDescent="0.25">
      <c r="A653" s="1011">
        <f t="shared" si="143"/>
        <v>3</v>
      </c>
      <c r="B653" s="1169" t="str">
        <f t="shared" si="143"/>
        <v>Work of construction of Gabion wall structure on down stream of nallah near Tunnel  at Vaitarna HPS.</v>
      </c>
      <c r="C653" s="1162">
        <f t="shared" si="143"/>
        <v>0</v>
      </c>
      <c r="D653" s="1081" t="str">
        <f t="shared" si="143"/>
        <v>-</v>
      </c>
      <c r="E653" s="1163">
        <f t="shared" si="143"/>
        <v>0</v>
      </c>
      <c r="F653" s="1177">
        <f t="shared" si="138"/>
        <v>0.26</v>
      </c>
      <c r="G653" s="1177">
        <f t="shared" si="139"/>
        <v>0.26</v>
      </c>
      <c r="H653" s="1177">
        <f t="shared" si="132"/>
        <v>0</v>
      </c>
      <c r="I653" s="1158">
        <v>0</v>
      </c>
      <c r="J653" s="1158">
        <v>0</v>
      </c>
      <c r="K653" s="1177"/>
      <c r="L653" s="1177"/>
      <c r="M653" s="1177">
        <f t="shared" si="133"/>
        <v>0</v>
      </c>
      <c r="N653" s="1177">
        <f t="shared" si="134"/>
        <v>0</v>
      </c>
    </row>
    <row r="654" spans="1:14" ht="15.5" outlineLevel="1" x14ac:dyDescent="0.25">
      <c r="A654" s="1171">
        <f t="shared" si="143"/>
        <v>0</v>
      </c>
      <c r="B654" s="1150" t="str">
        <f t="shared" si="143"/>
        <v>(ii) Yet to be submitted to MERC(F Y 2026-27)</v>
      </c>
      <c r="C654" s="1162">
        <f t="shared" si="143"/>
        <v>0</v>
      </c>
      <c r="D654" s="1081" t="str">
        <f t="shared" si="143"/>
        <v>-</v>
      </c>
      <c r="E654" s="1163">
        <f t="shared" si="143"/>
        <v>0</v>
      </c>
      <c r="F654" s="1177">
        <f t="shared" si="138"/>
        <v>0</v>
      </c>
      <c r="G654" s="1177">
        <f t="shared" si="139"/>
        <v>0</v>
      </c>
      <c r="H654" s="1177">
        <f t="shared" si="132"/>
        <v>0</v>
      </c>
      <c r="I654" s="1158">
        <v>0</v>
      </c>
      <c r="J654" s="1158">
        <v>0</v>
      </c>
      <c r="K654" s="1177"/>
      <c r="L654" s="1177"/>
      <c r="M654" s="1177">
        <f t="shared" si="133"/>
        <v>0</v>
      </c>
      <c r="N654" s="1177">
        <f t="shared" si="134"/>
        <v>0</v>
      </c>
    </row>
    <row r="655" spans="1:14" ht="15.5" outlineLevel="1" x14ac:dyDescent="0.25">
      <c r="A655" s="1168">
        <f t="shared" ref="A655:E670" si="144">A557</f>
        <v>0</v>
      </c>
      <c r="B655" s="1150" t="str">
        <f t="shared" si="144"/>
        <v>DPR 4</v>
      </c>
      <c r="C655" s="1162">
        <f t="shared" si="144"/>
        <v>0</v>
      </c>
      <c r="D655" s="1081" t="str">
        <f t="shared" si="144"/>
        <v>-</v>
      </c>
      <c r="E655" s="1163">
        <f t="shared" si="144"/>
        <v>0</v>
      </c>
      <c r="F655" s="1177">
        <f t="shared" si="138"/>
        <v>0</v>
      </c>
      <c r="G655" s="1177">
        <f t="shared" si="139"/>
        <v>0</v>
      </c>
      <c r="H655" s="1177">
        <f t="shared" si="132"/>
        <v>0</v>
      </c>
      <c r="I655" s="1158">
        <v>0</v>
      </c>
      <c r="J655" s="1158">
        <v>0</v>
      </c>
      <c r="K655" s="1177"/>
      <c r="L655" s="1177"/>
      <c r="M655" s="1177">
        <f t="shared" si="133"/>
        <v>0</v>
      </c>
      <c r="N655" s="1177">
        <f t="shared" si="134"/>
        <v>0</v>
      </c>
    </row>
    <row r="656" spans="1:14" ht="62" outlineLevel="1" x14ac:dyDescent="0.25">
      <c r="A656" s="1011">
        <f t="shared" si="144"/>
        <v>1</v>
      </c>
      <c r="B656" s="1169" t="str">
        <f t="shared" si="144"/>
        <v xml:space="preserve">Comprehensive work of redesign,manufacture, supply erection, testing &amp; commissioning of Digital Governing, Protection  and control system Consisting of SCADA on single point responsibility at 60 MW Vaitarna HPS.                                                                 </v>
      </c>
      <c r="C656" s="1162">
        <f t="shared" si="144"/>
        <v>0</v>
      </c>
      <c r="D656" s="1081" t="str">
        <f t="shared" si="144"/>
        <v>-</v>
      </c>
      <c r="E656" s="1163">
        <f t="shared" si="144"/>
        <v>0</v>
      </c>
      <c r="F656" s="1177">
        <f t="shared" si="138"/>
        <v>14</v>
      </c>
      <c r="G656" s="1177">
        <f t="shared" si="139"/>
        <v>14</v>
      </c>
      <c r="H656" s="1177">
        <f t="shared" si="132"/>
        <v>0</v>
      </c>
      <c r="I656" s="1158">
        <v>0</v>
      </c>
      <c r="J656" s="1158">
        <v>0</v>
      </c>
      <c r="K656" s="1177"/>
      <c r="L656" s="1177"/>
      <c r="M656" s="1177">
        <f t="shared" si="133"/>
        <v>0</v>
      </c>
      <c r="N656" s="1177">
        <f t="shared" si="134"/>
        <v>0</v>
      </c>
    </row>
    <row r="657" spans="1:14" ht="46.5" outlineLevel="1" x14ac:dyDescent="0.25">
      <c r="A657" s="1011">
        <f t="shared" si="144"/>
        <v>2</v>
      </c>
      <c r="B657" s="1169" t="str">
        <f t="shared" si="144"/>
        <v xml:space="preserve">Comprehensive work of Replacement, Modification,upgradation of cooling water system along with replacement of pipeline,pumps,panel etc at 60 MW Vaitarna HPS.                                           </v>
      </c>
      <c r="C657" s="1162">
        <f t="shared" si="144"/>
        <v>0</v>
      </c>
      <c r="D657" s="1081" t="str">
        <f t="shared" si="144"/>
        <v>-</v>
      </c>
      <c r="E657" s="1163">
        <f t="shared" si="144"/>
        <v>0</v>
      </c>
      <c r="F657" s="1177">
        <f t="shared" si="138"/>
        <v>2.5</v>
      </c>
      <c r="G657" s="1177">
        <f t="shared" si="139"/>
        <v>2.5</v>
      </c>
      <c r="H657" s="1177">
        <f t="shared" si="132"/>
        <v>0</v>
      </c>
      <c r="I657" s="1158">
        <v>0</v>
      </c>
      <c r="J657" s="1158">
        <v>0</v>
      </c>
      <c r="K657" s="1177"/>
      <c r="L657" s="1177"/>
      <c r="M657" s="1177">
        <f t="shared" si="133"/>
        <v>0</v>
      </c>
      <c r="N657" s="1177">
        <f t="shared" si="134"/>
        <v>0</v>
      </c>
    </row>
    <row r="658" spans="1:14" ht="31" outlineLevel="1" x14ac:dyDescent="0.25">
      <c r="A658" s="1011">
        <f t="shared" si="144"/>
        <v>3</v>
      </c>
      <c r="B658" s="1169" t="str">
        <f t="shared" si="144"/>
        <v xml:space="preserve"> Design, Manufacture, Supply, Erection, Testing and commissioning of 1000 KVA UAT &amp; EAT at 60MW Vaitarna HPS.                                                                  </v>
      </c>
      <c r="C658" s="1162">
        <f t="shared" si="144"/>
        <v>0</v>
      </c>
      <c r="D658" s="1081" t="str">
        <f t="shared" si="144"/>
        <v>-</v>
      </c>
      <c r="E658" s="1163">
        <f t="shared" si="144"/>
        <v>0</v>
      </c>
      <c r="F658" s="1177">
        <f t="shared" si="138"/>
        <v>0.6</v>
      </c>
      <c r="G658" s="1177">
        <f t="shared" si="139"/>
        <v>0.6</v>
      </c>
      <c r="H658" s="1177">
        <f t="shared" si="132"/>
        <v>0</v>
      </c>
      <c r="I658" s="1158">
        <v>0</v>
      </c>
      <c r="J658" s="1158">
        <v>0</v>
      </c>
      <c r="K658" s="1177"/>
      <c r="L658" s="1177"/>
      <c r="M658" s="1177">
        <f t="shared" si="133"/>
        <v>0</v>
      </c>
      <c r="N658" s="1177">
        <f t="shared" si="134"/>
        <v>0</v>
      </c>
    </row>
    <row r="659" spans="1:14" ht="31" outlineLevel="1" x14ac:dyDescent="0.25">
      <c r="A659" s="1011">
        <f t="shared" si="144"/>
        <v>4</v>
      </c>
      <c r="B659" s="1169" t="str">
        <f t="shared" si="144"/>
        <v xml:space="preserve">Supply, Erection, Testing &amp; Commissioning of 500 KVA DG set along with cable and changeover system at 60 MW Vaitarna HPS                                          </v>
      </c>
      <c r="C659" s="1162">
        <f t="shared" si="144"/>
        <v>0</v>
      </c>
      <c r="D659" s="1081" t="str">
        <f t="shared" si="144"/>
        <v>-</v>
      </c>
      <c r="E659" s="1163">
        <f t="shared" si="144"/>
        <v>0</v>
      </c>
      <c r="F659" s="1177">
        <f t="shared" si="138"/>
        <v>0.6</v>
      </c>
      <c r="G659" s="1177">
        <f t="shared" si="139"/>
        <v>0.6</v>
      </c>
      <c r="H659" s="1177">
        <f t="shared" si="132"/>
        <v>0</v>
      </c>
      <c r="I659" s="1158">
        <v>0</v>
      </c>
      <c r="J659" s="1158">
        <v>0</v>
      </c>
      <c r="K659" s="1177"/>
      <c r="L659" s="1177"/>
      <c r="M659" s="1177">
        <f t="shared" si="133"/>
        <v>0</v>
      </c>
      <c r="N659" s="1177">
        <f t="shared" si="134"/>
        <v>0</v>
      </c>
    </row>
    <row r="660" spans="1:14" ht="77.5" outlineLevel="1" x14ac:dyDescent="0.25">
      <c r="A660" s="1011">
        <f t="shared" si="144"/>
        <v>5</v>
      </c>
      <c r="B660" s="1169" t="str">
        <f t="shared" si="144"/>
        <v xml:space="preserve"> Supply, erection, testing and commissioning of 132kV Single core 300sqmm copper conductor XLPE insulated Lead sheathed power cable from Portal switchyard to Main switchyard along with fabrication of cable trays and misc. allied works at 60 MW Vaitarna HPS                                          </v>
      </c>
      <c r="C660" s="1162">
        <f t="shared" si="144"/>
        <v>0</v>
      </c>
      <c r="D660" s="1081" t="str">
        <f t="shared" si="144"/>
        <v>-</v>
      </c>
      <c r="E660" s="1163">
        <f t="shared" si="144"/>
        <v>0</v>
      </c>
      <c r="F660" s="1177">
        <f t="shared" si="138"/>
        <v>11</v>
      </c>
      <c r="G660" s="1177">
        <f t="shared" si="139"/>
        <v>11</v>
      </c>
      <c r="H660" s="1177">
        <f t="shared" si="132"/>
        <v>0</v>
      </c>
      <c r="I660" s="1158">
        <v>0</v>
      </c>
      <c r="J660" s="1158">
        <v>0</v>
      </c>
      <c r="K660" s="1177"/>
      <c r="L660" s="1177"/>
      <c r="M660" s="1177">
        <f t="shared" si="133"/>
        <v>0</v>
      </c>
      <c r="N660" s="1177">
        <f t="shared" si="134"/>
        <v>0</v>
      </c>
    </row>
    <row r="661" spans="1:14" ht="15.5" outlineLevel="1" x14ac:dyDescent="0.25">
      <c r="A661" s="1011">
        <f t="shared" si="144"/>
        <v>0</v>
      </c>
      <c r="B661" s="1150" t="str">
        <f t="shared" si="144"/>
        <v>DPR 5</v>
      </c>
      <c r="C661" s="1162">
        <f t="shared" si="144"/>
        <v>0</v>
      </c>
      <c r="D661" s="1081" t="str">
        <f t="shared" si="144"/>
        <v>-</v>
      </c>
      <c r="E661" s="1163">
        <f t="shared" si="144"/>
        <v>0</v>
      </c>
      <c r="F661" s="1177">
        <f t="shared" si="138"/>
        <v>0</v>
      </c>
      <c r="G661" s="1177">
        <f t="shared" si="139"/>
        <v>0</v>
      </c>
      <c r="H661" s="1177">
        <f t="shared" si="132"/>
        <v>0</v>
      </c>
      <c r="I661" s="1158">
        <v>0</v>
      </c>
      <c r="J661" s="1158">
        <v>0</v>
      </c>
      <c r="K661" s="1177"/>
      <c r="L661" s="1177"/>
      <c r="M661" s="1177">
        <f t="shared" si="133"/>
        <v>0</v>
      </c>
      <c r="N661" s="1177">
        <f t="shared" si="134"/>
        <v>0</v>
      </c>
    </row>
    <row r="662" spans="1:14" ht="15.5" outlineLevel="1" x14ac:dyDescent="0.25">
      <c r="A662" s="1011">
        <f t="shared" si="144"/>
        <v>1</v>
      </c>
      <c r="B662" s="1169" t="str">
        <f t="shared" si="144"/>
        <v xml:space="preserve">Upgradation of Insulation class Yeldari HPS                                                       </v>
      </c>
      <c r="C662" s="1162">
        <f t="shared" si="144"/>
        <v>0</v>
      </c>
      <c r="D662" s="1081" t="str">
        <f t="shared" si="144"/>
        <v>-</v>
      </c>
      <c r="E662" s="1163">
        <f t="shared" si="144"/>
        <v>0</v>
      </c>
      <c r="F662" s="1177">
        <f t="shared" si="138"/>
        <v>6</v>
      </c>
      <c r="G662" s="1177">
        <f t="shared" si="139"/>
        <v>6</v>
      </c>
      <c r="H662" s="1177">
        <f t="shared" si="132"/>
        <v>0</v>
      </c>
      <c r="I662" s="1158">
        <v>0</v>
      </c>
      <c r="J662" s="1158">
        <v>0</v>
      </c>
      <c r="K662" s="1177"/>
      <c r="L662" s="1177"/>
      <c r="M662" s="1177">
        <f t="shared" si="133"/>
        <v>0</v>
      </c>
      <c r="N662" s="1177">
        <f t="shared" si="134"/>
        <v>0</v>
      </c>
    </row>
    <row r="663" spans="1:14" ht="77.5" outlineLevel="1" x14ac:dyDescent="0.25">
      <c r="A663" s="1011">
        <f t="shared" si="144"/>
        <v>2</v>
      </c>
      <c r="B663" s="1169" t="str">
        <f t="shared" si="144"/>
        <v xml:space="preserve">Design,Supply ,testing ,erection and commissioing of  with modification of HT power circuit from 66KV to 132 KV by providing 03 Nos GT of 6.6/132 KV capcity 10 MVA with allied compatible aux. equipments  &amp; 01 Aux X`mer  2MVA of 132/11 KV at Yeldari HPS                                                         </v>
      </c>
      <c r="C663" s="1162">
        <f t="shared" si="144"/>
        <v>0</v>
      </c>
      <c r="D663" s="1081" t="str">
        <f t="shared" si="144"/>
        <v>-</v>
      </c>
      <c r="E663" s="1163">
        <f t="shared" si="144"/>
        <v>0</v>
      </c>
      <c r="F663" s="1177">
        <f t="shared" si="138"/>
        <v>10.199999999999999</v>
      </c>
      <c r="G663" s="1177">
        <f t="shared" si="139"/>
        <v>10.199999999999999</v>
      </c>
      <c r="H663" s="1177">
        <f t="shared" si="132"/>
        <v>0</v>
      </c>
      <c r="I663" s="1158">
        <v>0</v>
      </c>
      <c r="J663" s="1158">
        <v>0</v>
      </c>
      <c r="K663" s="1177"/>
      <c r="L663" s="1177"/>
      <c r="M663" s="1177">
        <f t="shared" si="133"/>
        <v>0</v>
      </c>
      <c r="N663" s="1177">
        <f t="shared" si="134"/>
        <v>0</v>
      </c>
    </row>
    <row r="664" spans="1:14" ht="46.5" outlineLevel="1" x14ac:dyDescent="0.25">
      <c r="A664" s="1011">
        <f t="shared" si="144"/>
        <v>3</v>
      </c>
      <c r="B664" s="1169" t="str">
        <f t="shared" si="144"/>
        <v xml:space="preserve">Design,supply ,testing ,erection and commissioing of Automated Co2 fire extinguishers system including supply of Co2 cylinder banks,detectors accessories and associated work at Yeldari HPS                                          </v>
      </c>
      <c r="C664" s="1162">
        <f t="shared" si="144"/>
        <v>0</v>
      </c>
      <c r="D664" s="1081" t="str">
        <f t="shared" si="144"/>
        <v>-</v>
      </c>
      <c r="E664" s="1163">
        <f t="shared" si="144"/>
        <v>0</v>
      </c>
      <c r="F664" s="1177">
        <f t="shared" si="138"/>
        <v>0.6</v>
      </c>
      <c r="G664" s="1177">
        <f t="shared" si="139"/>
        <v>0.6</v>
      </c>
      <c r="H664" s="1177">
        <f t="shared" si="132"/>
        <v>0</v>
      </c>
      <c r="I664" s="1158">
        <v>0</v>
      </c>
      <c r="J664" s="1158">
        <v>0</v>
      </c>
      <c r="K664" s="1177"/>
      <c r="L664" s="1177"/>
      <c r="M664" s="1177">
        <f t="shared" si="133"/>
        <v>0</v>
      </c>
      <c r="N664" s="1177">
        <f t="shared" si="134"/>
        <v>0</v>
      </c>
    </row>
    <row r="665" spans="1:14" ht="46.5" outlineLevel="1" x14ac:dyDescent="0.25">
      <c r="A665" s="1011">
        <f t="shared" si="144"/>
        <v>4</v>
      </c>
      <c r="B665" s="1169" t="str">
        <f t="shared" si="144"/>
        <v xml:space="preserve"> Design,supply ,testing ,erection and commissioing of UAT capacity 250 KVA ration 6.6KV/415V with ACDB, DCDB , auto change over system                                </v>
      </c>
      <c r="C665" s="1162">
        <f t="shared" si="144"/>
        <v>0</v>
      </c>
      <c r="D665" s="1081" t="str">
        <f t="shared" si="144"/>
        <v>-</v>
      </c>
      <c r="E665" s="1163">
        <f t="shared" si="144"/>
        <v>0</v>
      </c>
      <c r="F665" s="1177">
        <f t="shared" si="138"/>
        <v>3</v>
      </c>
      <c r="G665" s="1177">
        <f t="shared" si="139"/>
        <v>3</v>
      </c>
      <c r="H665" s="1177">
        <f t="shared" si="132"/>
        <v>0</v>
      </c>
      <c r="I665" s="1158">
        <v>0</v>
      </c>
      <c r="J665" s="1158">
        <v>0</v>
      </c>
      <c r="K665" s="1177"/>
      <c r="L665" s="1177"/>
      <c r="M665" s="1177">
        <f t="shared" si="133"/>
        <v>0</v>
      </c>
      <c r="N665" s="1177">
        <f t="shared" si="134"/>
        <v>0</v>
      </c>
    </row>
    <row r="666" spans="1:14" ht="31" outlineLevel="1" x14ac:dyDescent="0.25">
      <c r="A666" s="1011">
        <f t="shared" si="144"/>
        <v>5</v>
      </c>
      <c r="B666" s="1169" t="str">
        <f t="shared" si="144"/>
        <v xml:space="preserve">Design,supply ,testing ,erection and commissioing of  Power cables for GT and control cables at Yeldari HPS                                            </v>
      </c>
      <c r="C666" s="1162">
        <f t="shared" si="144"/>
        <v>0</v>
      </c>
      <c r="D666" s="1081" t="str">
        <f t="shared" si="144"/>
        <v>-</v>
      </c>
      <c r="E666" s="1163">
        <f t="shared" si="144"/>
        <v>0</v>
      </c>
      <c r="F666" s="1177">
        <f t="shared" si="138"/>
        <v>3.75</v>
      </c>
      <c r="G666" s="1177">
        <f t="shared" si="139"/>
        <v>3.75</v>
      </c>
      <c r="H666" s="1177">
        <f t="shared" si="132"/>
        <v>0</v>
      </c>
      <c r="I666" s="1158">
        <v>0</v>
      </c>
      <c r="J666" s="1158">
        <v>0</v>
      </c>
      <c r="K666" s="1177"/>
      <c r="L666" s="1177"/>
      <c r="M666" s="1177">
        <f t="shared" si="133"/>
        <v>0</v>
      </c>
      <c r="N666" s="1177">
        <f t="shared" si="134"/>
        <v>0</v>
      </c>
    </row>
    <row r="667" spans="1:14" ht="31" outlineLevel="1" x14ac:dyDescent="0.25">
      <c r="A667" s="1011">
        <f t="shared" si="144"/>
        <v>6</v>
      </c>
      <c r="B667" s="1169" t="str">
        <f t="shared" si="144"/>
        <v xml:space="preserve">Design,supply ,testing ,erection and commissioing of  Power cables for GT and control cables at Yeldari HPS                                              </v>
      </c>
      <c r="C667" s="1162">
        <f t="shared" si="144"/>
        <v>0</v>
      </c>
      <c r="D667" s="1081" t="str">
        <f t="shared" si="144"/>
        <v>-</v>
      </c>
      <c r="E667" s="1163">
        <f t="shared" si="144"/>
        <v>0</v>
      </c>
      <c r="F667" s="1177">
        <f t="shared" si="138"/>
        <v>1.5</v>
      </c>
      <c r="G667" s="1177">
        <f t="shared" si="139"/>
        <v>1.5</v>
      </c>
      <c r="H667" s="1177">
        <f t="shared" si="132"/>
        <v>0</v>
      </c>
      <c r="I667" s="1158">
        <v>0</v>
      </c>
      <c r="J667" s="1158">
        <v>0</v>
      </c>
      <c r="K667" s="1177"/>
      <c r="L667" s="1177"/>
      <c r="M667" s="1177">
        <f t="shared" si="133"/>
        <v>0</v>
      </c>
      <c r="N667" s="1177">
        <f t="shared" si="134"/>
        <v>0</v>
      </c>
    </row>
    <row r="668" spans="1:14" ht="15.5" outlineLevel="1" x14ac:dyDescent="0.25">
      <c r="A668" s="1168">
        <f t="shared" si="144"/>
        <v>0</v>
      </c>
      <c r="B668" s="1172" t="str">
        <f t="shared" si="144"/>
        <v>DPR 6(CIVIL)</v>
      </c>
      <c r="C668" s="1162">
        <f t="shared" si="144"/>
        <v>0</v>
      </c>
      <c r="D668" s="1081" t="str">
        <f t="shared" si="144"/>
        <v>-</v>
      </c>
      <c r="E668" s="1163">
        <f t="shared" si="144"/>
        <v>0</v>
      </c>
      <c r="F668" s="1177">
        <f t="shared" si="138"/>
        <v>0</v>
      </c>
      <c r="G668" s="1177">
        <f t="shared" si="139"/>
        <v>0</v>
      </c>
      <c r="H668" s="1177">
        <f t="shared" si="132"/>
        <v>0</v>
      </c>
      <c r="I668" s="1158">
        <v>0</v>
      </c>
      <c r="J668" s="1158">
        <v>0</v>
      </c>
      <c r="K668" s="1177"/>
      <c r="L668" s="1177"/>
      <c r="M668" s="1177">
        <f t="shared" si="133"/>
        <v>0</v>
      </c>
      <c r="N668" s="1177">
        <f t="shared" si="134"/>
        <v>0</v>
      </c>
    </row>
    <row r="669" spans="1:14" ht="15.5" outlineLevel="1" x14ac:dyDescent="0.25">
      <c r="A669" s="1011">
        <f t="shared" si="144"/>
        <v>1</v>
      </c>
      <c r="B669" s="1169" t="str">
        <f t="shared" si="144"/>
        <v>Package shade roof change at Ghatghar HPS</v>
      </c>
      <c r="C669" s="1162">
        <f t="shared" si="144"/>
        <v>0</v>
      </c>
      <c r="D669" s="1081" t="str">
        <f t="shared" si="144"/>
        <v>-</v>
      </c>
      <c r="E669" s="1163">
        <f t="shared" si="144"/>
        <v>0</v>
      </c>
      <c r="F669" s="1177">
        <f t="shared" si="138"/>
        <v>2</v>
      </c>
      <c r="G669" s="1177">
        <f t="shared" si="139"/>
        <v>2</v>
      </c>
      <c r="H669" s="1177">
        <f t="shared" si="132"/>
        <v>0</v>
      </c>
      <c r="I669" s="1158">
        <v>0</v>
      </c>
      <c r="J669" s="1158">
        <v>0</v>
      </c>
      <c r="K669" s="1177"/>
      <c r="L669" s="1177"/>
      <c r="M669" s="1177">
        <f t="shared" si="133"/>
        <v>0</v>
      </c>
      <c r="N669" s="1177">
        <f t="shared" si="134"/>
        <v>0</v>
      </c>
    </row>
    <row r="670" spans="1:14" ht="15.5" outlineLevel="1" x14ac:dyDescent="0.25">
      <c r="A670" s="1011">
        <f t="shared" si="144"/>
        <v>2</v>
      </c>
      <c r="B670" s="1169" t="str">
        <f t="shared" si="144"/>
        <v>PROCUREMENT OF MOBILE RACKS FOR STORES atGhatghar HPS</v>
      </c>
      <c r="C670" s="1162">
        <f t="shared" si="144"/>
        <v>0</v>
      </c>
      <c r="D670" s="1081" t="str">
        <f t="shared" si="144"/>
        <v>-</v>
      </c>
      <c r="E670" s="1163">
        <f t="shared" si="144"/>
        <v>0</v>
      </c>
      <c r="F670" s="1177">
        <f t="shared" si="138"/>
        <v>0.25</v>
      </c>
      <c r="G670" s="1177">
        <f t="shared" si="139"/>
        <v>0.25</v>
      </c>
      <c r="H670" s="1177">
        <f t="shared" si="132"/>
        <v>0</v>
      </c>
      <c r="I670" s="1158">
        <v>0</v>
      </c>
      <c r="J670" s="1158">
        <v>0</v>
      </c>
      <c r="K670" s="1177"/>
      <c r="L670" s="1177"/>
      <c r="M670" s="1177">
        <f t="shared" si="133"/>
        <v>0</v>
      </c>
      <c r="N670" s="1177">
        <f t="shared" si="134"/>
        <v>0</v>
      </c>
    </row>
    <row r="671" spans="1:14" ht="31" outlineLevel="1" x14ac:dyDescent="0.25">
      <c r="A671" s="1011">
        <f t="shared" ref="A671:E686" si="145">A573</f>
        <v>3</v>
      </c>
      <c r="B671" s="1169" t="str">
        <f t="shared" si="145"/>
        <v>Wall compound Rising of height and Wire fence on wall at package shade  at Ghatghar HPS</v>
      </c>
      <c r="C671" s="1162">
        <f t="shared" si="145"/>
        <v>0</v>
      </c>
      <c r="D671" s="1081" t="str">
        <f t="shared" si="145"/>
        <v>-</v>
      </c>
      <c r="E671" s="1163">
        <f t="shared" si="145"/>
        <v>0</v>
      </c>
      <c r="F671" s="1177">
        <f t="shared" ref="F671:F685" si="146">F573+I573</f>
        <v>1.5</v>
      </c>
      <c r="G671" s="1177">
        <f t="shared" ref="G671:G685" si="147">G573+M573</f>
        <v>1.5</v>
      </c>
      <c r="H671" s="1177">
        <f t="shared" si="132"/>
        <v>0</v>
      </c>
      <c r="I671" s="1158">
        <v>0</v>
      </c>
      <c r="J671" s="1158">
        <v>0</v>
      </c>
      <c r="K671" s="1177"/>
      <c r="L671" s="1177"/>
      <c r="M671" s="1177">
        <f t="shared" si="133"/>
        <v>0</v>
      </c>
      <c r="N671" s="1177">
        <f t="shared" si="134"/>
        <v>0</v>
      </c>
    </row>
    <row r="672" spans="1:14" ht="15.5" outlineLevel="1" x14ac:dyDescent="0.25">
      <c r="A672" s="1011">
        <f t="shared" si="145"/>
        <v>4</v>
      </c>
      <c r="B672" s="1169" t="str">
        <f t="shared" si="145"/>
        <v>Wall compound colony UCR at Ghatghar HPS</v>
      </c>
      <c r="C672" s="1162">
        <f t="shared" si="145"/>
        <v>0</v>
      </c>
      <c r="D672" s="1081" t="str">
        <f t="shared" si="145"/>
        <v>-</v>
      </c>
      <c r="E672" s="1163">
        <f t="shared" si="145"/>
        <v>0</v>
      </c>
      <c r="F672" s="1177">
        <f t="shared" si="146"/>
        <v>1.5</v>
      </c>
      <c r="G672" s="1177">
        <f t="shared" si="147"/>
        <v>1.5</v>
      </c>
      <c r="H672" s="1177">
        <f t="shared" si="132"/>
        <v>0</v>
      </c>
      <c r="I672" s="1158">
        <v>0</v>
      </c>
      <c r="J672" s="1158">
        <v>0</v>
      </c>
      <c r="K672" s="1177"/>
      <c r="L672" s="1177"/>
      <c r="M672" s="1177">
        <f t="shared" si="133"/>
        <v>0</v>
      </c>
      <c r="N672" s="1177">
        <f t="shared" si="134"/>
        <v>0</v>
      </c>
    </row>
    <row r="673" spans="1:14" ht="15.5" outlineLevel="1" x14ac:dyDescent="0.25">
      <c r="A673" s="1011">
        <f t="shared" si="145"/>
        <v>5</v>
      </c>
      <c r="B673" s="1169" t="str">
        <f t="shared" si="145"/>
        <v>Colony and office Road asphalting at Ghatghar HPS</v>
      </c>
      <c r="C673" s="1162">
        <f t="shared" si="145"/>
        <v>0</v>
      </c>
      <c r="D673" s="1081" t="str">
        <f t="shared" si="145"/>
        <v>-</v>
      </c>
      <c r="E673" s="1163">
        <f t="shared" si="145"/>
        <v>0</v>
      </c>
      <c r="F673" s="1177">
        <f t="shared" si="146"/>
        <v>2</v>
      </c>
      <c r="G673" s="1177">
        <f t="shared" si="147"/>
        <v>2</v>
      </c>
      <c r="H673" s="1177">
        <f t="shared" si="132"/>
        <v>0</v>
      </c>
      <c r="I673" s="1158">
        <v>0</v>
      </c>
      <c r="J673" s="1158">
        <v>0</v>
      </c>
      <c r="K673" s="1177"/>
      <c r="L673" s="1177"/>
      <c r="M673" s="1177">
        <f t="shared" si="133"/>
        <v>0</v>
      </c>
      <c r="N673" s="1177">
        <f t="shared" si="134"/>
        <v>0</v>
      </c>
    </row>
    <row r="674" spans="1:14" ht="15.5" outlineLevel="1" x14ac:dyDescent="0.25">
      <c r="A674" s="1011">
        <f t="shared" si="145"/>
        <v>6</v>
      </c>
      <c r="B674" s="1169" t="str">
        <f t="shared" si="145"/>
        <v xml:space="preserve"> Road colony to power house at Ghatghar HPS</v>
      </c>
      <c r="C674" s="1162">
        <f t="shared" si="145"/>
        <v>0</v>
      </c>
      <c r="D674" s="1081" t="str">
        <f t="shared" si="145"/>
        <v>-</v>
      </c>
      <c r="E674" s="1163">
        <f t="shared" si="145"/>
        <v>0</v>
      </c>
      <c r="F674" s="1177">
        <f t="shared" si="146"/>
        <v>7</v>
      </c>
      <c r="G674" s="1177">
        <f t="shared" si="147"/>
        <v>7</v>
      </c>
      <c r="H674" s="1177">
        <f t="shared" si="132"/>
        <v>0</v>
      </c>
      <c r="I674" s="1158">
        <v>0</v>
      </c>
      <c r="J674" s="1158">
        <v>0</v>
      </c>
      <c r="K674" s="1177"/>
      <c r="L674" s="1177"/>
      <c r="M674" s="1177">
        <f t="shared" si="133"/>
        <v>0</v>
      </c>
      <c r="N674" s="1177">
        <f t="shared" si="134"/>
        <v>0</v>
      </c>
    </row>
    <row r="675" spans="1:14" ht="15.5" outlineLevel="1" x14ac:dyDescent="0.25">
      <c r="A675" s="1168">
        <f t="shared" si="145"/>
        <v>0</v>
      </c>
      <c r="B675" s="1013">
        <f t="shared" si="145"/>
        <v>0</v>
      </c>
      <c r="C675" s="1162">
        <f t="shared" si="145"/>
        <v>0</v>
      </c>
      <c r="D675" s="1081" t="str">
        <f t="shared" si="145"/>
        <v>-</v>
      </c>
      <c r="E675" s="1163">
        <f t="shared" si="145"/>
        <v>0</v>
      </c>
      <c r="F675" s="1177">
        <f t="shared" si="146"/>
        <v>0</v>
      </c>
      <c r="G675" s="1177">
        <f t="shared" si="147"/>
        <v>0</v>
      </c>
      <c r="H675" s="1177">
        <f t="shared" si="132"/>
        <v>0</v>
      </c>
      <c r="I675" s="1158">
        <v>0</v>
      </c>
      <c r="J675" s="1158">
        <v>0</v>
      </c>
      <c r="K675" s="1177"/>
      <c r="L675" s="1177"/>
      <c r="M675" s="1177">
        <f t="shared" si="133"/>
        <v>0</v>
      </c>
      <c r="N675" s="1177">
        <f t="shared" si="134"/>
        <v>0</v>
      </c>
    </row>
    <row r="676" spans="1:14" ht="15.5" outlineLevel="1" x14ac:dyDescent="0.25">
      <c r="A676" s="1168">
        <f t="shared" si="145"/>
        <v>0</v>
      </c>
      <c r="B676" s="1150" t="str">
        <f t="shared" si="145"/>
        <v>(ii) Yet to be submitted to MERC(F Y 2027-28)</v>
      </c>
      <c r="C676" s="1162">
        <f t="shared" si="145"/>
        <v>0</v>
      </c>
      <c r="D676" s="1081" t="str">
        <f t="shared" si="145"/>
        <v>-</v>
      </c>
      <c r="E676" s="1163">
        <f t="shared" si="145"/>
        <v>0</v>
      </c>
      <c r="F676" s="1177">
        <f t="shared" si="146"/>
        <v>0</v>
      </c>
      <c r="G676" s="1177">
        <f t="shared" si="147"/>
        <v>0</v>
      </c>
      <c r="H676" s="1177">
        <f t="shared" si="132"/>
        <v>0</v>
      </c>
      <c r="I676" s="1158">
        <v>0</v>
      </c>
      <c r="J676" s="1158">
        <v>0</v>
      </c>
      <c r="K676" s="1177"/>
      <c r="L676" s="1177"/>
      <c r="M676" s="1177">
        <f t="shared" si="133"/>
        <v>0</v>
      </c>
      <c r="N676" s="1177">
        <f t="shared" si="134"/>
        <v>0</v>
      </c>
    </row>
    <row r="677" spans="1:14" ht="15.5" outlineLevel="1" x14ac:dyDescent="0.25">
      <c r="A677" s="1168">
        <f t="shared" si="145"/>
        <v>0</v>
      </c>
      <c r="B677" s="1150" t="str">
        <f t="shared" si="145"/>
        <v>DPR 7</v>
      </c>
      <c r="C677" s="1162">
        <f t="shared" si="145"/>
        <v>0</v>
      </c>
      <c r="D677" s="1081" t="str">
        <f t="shared" si="145"/>
        <v>-</v>
      </c>
      <c r="E677" s="1163">
        <f t="shared" si="145"/>
        <v>0</v>
      </c>
      <c r="F677" s="1177">
        <f t="shared" si="146"/>
        <v>0</v>
      </c>
      <c r="G677" s="1177">
        <f t="shared" si="147"/>
        <v>0</v>
      </c>
      <c r="H677" s="1177">
        <f t="shared" si="132"/>
        <v>0</v>
      </c>
      <c r="I677" s="1158">
        <v>0</v>
      </c>
      <c r="J677" s="1158">
        <v>0</v>
      </c>
      <c r="K677" s="1177"/>
      <c r="L677" s="1177"/>
      <c r="M677" s="1177">
        <f t="shared" si="133"/>
        <v>0</v>
      </c>
      <c r="N677" s="1177">
        <f t="shared" si="134"/>
        <v>0</v>
      </c>
    </row>
    <row r="678" spans="1:14" ht="15.5" outlineLevel="1" x14ac:dyDescent="0.25">
      <c r="A678" s="1011">
        <f t="shared" si="145"/>
        <v>1</v>
      </c>
      <c r="B678" s="1169" t="str">
        <f t="shared" si="145"/>
        <v>UPGRADATION OF SFC &amp; DDC PANEL at Ghatghar HPS</v>
      </c>
      <c r="C678" s="1162">
        <f t="shared" si="145"/>
        <v>0</v>
      </c>
      <c r="D678" s="1081" t="str">
        <f t="shared" si="145"/>
        <v>-</v>
      </c>
      <c r="E678" s="1163">
        <f t="shared" si="145"/>
        <v>0</v>
      </c>
      <c r="F678" s="1177">
        <f t="shared" si="146"/>
        <v>10</v>
      </c>
      <c r="G678" s="1177">
        <f t="shared" si="147"/>
        <v>10</v>
      </c>
      <c r="H678" s="1177">
        <f t="shared" si="132"/>
        <v>0</v>
      </c>
      <c r="I678" s="1158">
        <v>0</v>
      </c>
      <c r="J678" s="1158">
        <v>0</v>
      </c>
      <c r="K678" s="1177"/>
      <c r="L678" s="1177"/>
      <c r="M678" s="1177">
        <f t="shared" si="133"/>
        <v>0</v>
      </c>
      <c r="N678" s="1177">
        <f t="shared" si="134"/>
        <v>0</v>
      </c>
    </row>
    <row r="679" spans="1:14" ht="15.5" outlineLevel="1" x14ac:dyDescent="0.25">
      <c r="A679" s="1011">
        <f t="shared" si="145"/>
        <v>2</v>
      </c>
      <c r="B679" s="1169" t="str">
        <f t="shared" si="145"/>
        <v>BATTERY CHARGER PROCUREMENT at Ghatghar HPS</v>
      </c>
      <c r="C679" s="1162">
        <f t="shared" si="145"/>
        <v>0</v>
      </c>
      <c r="D679" s="1081" t="str">
        <f t="shared" si="145"/>
        <v>-</v>
      </c>
      <c r="E679" s="1163">
        <f t="shared" si="145"/>
        <v>0</v>
      </c>
      <c r="F679" s="1177">
        <f t="shared" si="146"/>
        <v>0.5</v>
      </c>
      <c r="G679" s="1177">
        <f t="shared" si="147"/>
        <v>0.5</v>
      </c>
      <c r="H679" s="1177">
        <f t="shared" si="132"/>
        <v>0</v>
      </c>
      <c r="I679" s="1158">
        <v>0</v>
      </c>
      <c r="J679" s="1158">
        <v>0</v>
      </c>
      <c r="K679" s="1177"/>
      <c r="L679" s="1177"/>
      <c r="M679" s="1177">
        <f t="shared" si="133"/>
        <v>0</v>
      </c>
      <c r="N679" s="1177">
        <f t="shared" si="134"/>
        <v>0</v>
      </c>
    </row>
    <row r="680" spans="1:14" ht="15.5" outlineLevel="1" x14ac:dyDescent="0.25">
      <c r="A680" s="1011">
        <f t="shared" si="145"/>
        <v>3</v>
      </c>
      <c r="B680" s="1169" t="str">
        <f t="shared" si="145"/>
        <v xml:space="preserve"> PHASE REVERSAL SWITCH PROCUREMENT at Ghatghar HPS</v>
      </c>
      <c r="C680" s="1162">
        <f t="shared" si="145"/>
        <v>0</v>
      </c>
      <c r="D680" s="1081" t="str">
        <f t="shared" si="145"/>
        <v>-</v>
      </c>
      <c r="E680" s="1163">
        <f t="shared" si="145"/>
        <v>0</v>
      </c>
      <c r="F680" s="1177">
        <f t="shared" si="146"/>
        <v>0.5</v>
      </c>
      <c r="G680" s="1177">
        <f t="shared" si="147"/>
        <v>0.5</v>
      </c>
      <c r="H680" s="1177">
        <f t="shared" si="132"/>
        <v>0</v>
      </c>
      <c r="I680" s="1158">
        <v>0</v>
      </c>
      <c r="J680" s="1158">
        <v>0</v>
      </c>
      <c r="K680" s="1177"/>
      <c r="L680" s="1177"/>
      <c r="M680" s="1177">
        <f t="shared" si="133"/>
        <v>0</v>
      </c>
      <c r="N680" s="1177">
        <f t="shared" si="134"/>
        <v>0</v>
      </c>
    </row>
    <row r="681" spans="1:14" ht="15.5" outlineLevel="1" x14ac:dyDescent="0.25">
      <c r="A681" s="1011">
        <f t="shared" si="145"/>
        <v>4</v>
      </c>
      <c r="B681" s="1169" t="str">
        <f t="shared" si="145"/>
        <v xml:space="preserve"> PROCUREMENT OF SPARES FOR 220kV GIS at Ghatghar HPS</v>
      </c>
      <c r="C681" s="1162">
        <f t="shared" si="145"/>
        <v>0</v>
      </c>
      <c r="D681" s="1081" t="str">
        <f t="shared" si="145"/>
        <v>-</v>
      </c>
      <c r="E681" s="1163">
        <f t="shared" si="145"/>
        <v>0</v>
      </c>
      <c r="F681" s="1177">
        <f t="shared" si="146"/>
        <v>6.5</v>
      </c>
      <c r="G681" s="1177">
        <f t="shared" si="147"/>
        <v>6.5</v>
      </c>
      <c r="H681" s="1177">
        <f t="shared" si="132"/>
        <v>0</v>
      </c>
      <c r="I681" s="1158">
        <v>0</v>
      </c>
      <c r="J681" s="1158">
        <v>0</v>
      </c>
      <c r="K681" s="1177"/>
      <c r="L681" s="1177"/>
      <c r="M681" s="1177">
        <f t="shared" si="133"/>
        <v>0</v>
      </c>
      <c r="N681" s="1177">
        <f t="shared" si="134"/>
        <v>0</v>
      </c>
    </row>
    <row r="682" spans="1:14" ht="15.5" outlineLevel="1" x14ac:dyDescent="0.25">
      <c r="A682" s="1011">
        <f t="shared" si="145"/>
        <v>5</v>
      </c>
      <c r="B682" s="1169" t="str">
        <f t="shared" si="145"/>
        <v xml:space="preserve"> PROCUREMENT OF RBDV at Ghatghar HPS</v>
      </c>
      <c r="C682" s="1162">
        <f t="shared" si="145"/>
        <v>0</v>
      </c>
      <c r="D682" s="1081" t="str">
        <f t="shared" si="145"/>
        <v>-</v>
      </c>
      <c r="E682" s="1163">
        <f t="shared" si="145"/>
        <v>0</v>
      </c>
      <c r="F682" s="1177">
        <f t="shared" si="146"/>
        <v>1</v>
      </c>
      <c r="G682" s="1177">
        <f t="shared" si="147"/>
        <v>1</v>
      </c>
      <c r="H682" s="1177">
        <f t="shared" si="132"/>
        <v>0</v>
      </c>
      <c r="I682" s="1158">
        <v>0</v>
      </c>
      <c r="J682" s="1158">
        <v>0</v>
      </c>
      <c r="K682" s="1177"/>
      <c r="L682" s="1177"/>
      <c r="M682" s="1177">
        <f t="shared" si="133"/>
        <v>0</v>
      </c>
      <c r="N682" s="1177">
        <f t="shared" si="134"/>
        <v>0</v>
      </c>
    </row>
    <row r="683" spans="1:14" ht="15.5" outlineLevel="1" x14ac:dyDescent="0.25">
      <c r="A683" s="1044">
        <f t="shared" si="145"/>
        <v>0</v>
      </c>
      <c r="B683" s="1040">
        <f t="shared" si="145"/>
        <v>0</v>
      </c>
      <c r="C683" s="1162">
        <f t="shared" si="145"/>
        <v>0</v>
      </c>
      <c r="D683" s="1081" t="str">
        <f t="shared" si="145"/>
        <v>-</v>
      </c>
      <c r="E683" s="1163">
        <f t="shared" si="145"/>
        <v>0</v>
      </c>
      <c r="F683" s="1177">
        <f t="shared" si="146"/>
        <v>0</v>
      </c>
      <c r="G683" s="1177">
        <f t="shared" si="147"/>
        <v>0</v>
      </c>
      <c r="H683" s="1177">
        <f t="shared" si="132"/>
        <v>0</v>
      </c>
      <c r="I683" s="1158">
        <v>0</v>
      </c>
      <c r="J683" s="1158">
        <v>0</v>
      </c>
      <c r="K683" s="1177"/>
      <c r="L683" s="1177"/>
      <c r="M683" s="1177">
        <f t="shared" si="133"/>
        <v>0</v>
      </c>
      <c r="N683" s="1177">
        <f t="shared" si="134"/>
        <v>0</v>
      </c>
    </row>
    <row r="684" spans="1:14" ht="15.5" outlineLevel="1" x14ac:dyDescent="0.25">
      <c r="A684" s="1168">
        <f t="shared" si="145"/>
        <v>0</v>
      </c>
      <c r="B684" s="1172" t="str">
        <f t="shared" si="145"/>
        <v>DPR 8</v>
      </c>
      <c r="C684" s="1162">
        <f t="shared" si="145"/>
        <v>0</v>
      </c>
      <c r="D684" s="1081" t="str">
        <f t="shared" si="145"/>
        <v>-</v>
      </c>
      <c r="E684" s="1163">
        <f t="shared" si="145"/>
        <v>0</v>
      </c>
      <c r="F684" s="1177">
        <f t="shared" si="146"/>
        <v>0</v>
      </c>
      <c r="G684" s="1177">
        <f t="shared" si="147"/>
        <v>0</v>
      </c>
      <c r="H684" s="1177">
        <f t="shared" si="132"/>
        <v>0</v>
      </c>
      <c r="I684" s="1158">
        <v>0</v>
      </c>
      <c r="J684" s="1158">
        <v>0</v>
      </c>
      <c r="K684" s="1177"/>
      <c r="L684" s="1177"/>
      <c r="M684" s="1177">
        <f t="shared" si="133"/>
        <v>0</v>
      </c>
      <c r="N684" s="1177">
        <f t="shared" si="134"/>
        <v>0</v>
      </c>
    </row>
    <row r="685" spans="1:14" ht="46.5" outlineLevel="1" x14ac:dyDescent="0.25">
      <c r="A685" s="1011">
        <f t="shared" si="145"/>
        <v>1</v>
      </c>
      <c r="B685" s="1169" t="str">
        <f t="shared" si="145"/>
        <v xml:space="preserve">Comprehensive work of Renovation, Modification, Design, Manufacture, Supply, Erection, Testing &amp; Commissioning of new Generator  on single point responsibility at 60 MW Vaitarna HPS.                          </v>
      </c>
      <c r="C685" s="1162">
        <f t="shared" si="145"/>
        <v>0</v>
      </c>
      <c r="D685" s="1081" t="str">
        <f t="shared" si="145"/>
        <v>-</v>
      </c>
      <c r="E685" s="1163">
        <f t="shared" si="145"/>
        <v>0</v>
      </c>
      <c r="F685" s="1177">
        <f t="shared" si="146"/>
        <v>50</v>
      </c>
      <c r="G685" s="1177">
        <f t="shared" si="147"/>
        <v>50</v>
      </c>
      <c r="H685" s="1177">
        <f t="shared" si="132"/>
        <v>0</v>
      </c>
      <c r="I685" s="1158">
        <v>0</v>
      </c>
      <c r="J685" s="1158">
        <v>0</v>
      </c>
      <c r="K685" s="1177"/>
      <c r="L685" s="1177"/>
      <c r="M685" s="1177">
        <f t="shared" si="133"/>
        <v>0</v>
      </c>
      <c r="N685" s="1177">
        <f t="shared" si="134"/>
        <v>0</v>
      </c>
    </row>
    <row r="686" spans="1:14" ht="15.5" outlineLevel="1" x14ac:dyDescent="0.25">
      <c r="A686" s="1011">
        <f t="shared" si="145"/>
        <v>0</v>
      </c>
      <c r="B686" s="1012" t="str">
        <f t="shared" si="145"/>
        <v>B) Non-DPR Schemes</v>
      </c>
      <c r="C686" s="1162">
        <f t="shared" si="145"/>
        <v>0</v>
      </c>
      <c r="D686" s="1081" t="str">
        <f t="shared" si="145"/>
        <v>-</v>
      </c>
      <c r="E686" s="1163">
        <f t="shared" si="145"/>
        <v>0</v>
      </c>
      <c r="F686" s="1177">
        <f>F588+I588</f>
        <v>0</v>
      </c>
      <c r="G686" s="1177">
        <f>G588+M588</f>
        <v>0</v>
      </c>
      <c r="H686" s="1177">
        <f t="shared" si="132"/>
        <v>0</v>
      </c>
      <c r="I686" s="1158">
        <v>0</v>
      </c>
      <c r="J686" s="1158">
        <v>0</v>
      </c>
      <c r="K686" s="1177"/>
      <c r="L686" s="1177"/>
      <c r="M686" s="1177">
        <f t="shared" si="133"/>
        <v>0</v>
      </c>
      <c r="N686" s="1177">
        <f t="shared" si="134"/>
        <v>0</v>
      </c>
    </row>
    <row r="687" spans="1:14" ht="15.5" outlineLevel="1" x14ac:dyDescent="0.25">
      <c r="A687" s="1160">
        <f t="shared" ref="A687:E690" si="148">A589</f>
        <v>1</v>
      </c>
      <c r="B687" s="1035" t="str">
        <f t="shared" si="148"/>
        <v>Office Equipment</v>
      </c>
      <c r="C687" s="1162">
        <f t="shared" si="148"/>
        <v>0</v>
      </c>
      <c r="D687" s="1081" t="str">
        <f t="shared" si="148"/>
        <v>-</v>
      </c>
      <c r="E687" s="1163">
        <f t="shared" si="148"/>
        <v>0</v>
      </c>
      <c r="F687" s="1177">
        <f>F589+I589</f>
        <v>0.66373825499999994</v>
      </c>
      <c r="G687" s="1177">
        <f>G589+M589</f>
        <v>0.70044345600000002</v>
      </c>
      <c r="H687" s="1177">
        <f t="shared" si="132"/>
        <v>-3.6705201000000076E-2</v>
      </c>
      <c r="I687" s="1158">
        <v>0</v>
      </c>
      <c r="J687" s="1158">
        <v>0</v>
      </c>
      <c r="K687" s="1177"/>
      <c r="L687" s="1177"/>
      <c r="M687" s="1177">
        <f t="shared" si="133"/>
        <v>0</v>
      </c>
      <c r="N687" s="1177">
        <f t="shared" si="134"/>
        <v>-3.6705201000000076E-2</v>
      </c>
    </row>
    <row r="688" spans="1:14" ht="15.5" outlineLevel="1" x14ac:dyDescent="0.25">
      <c r="A688" s="1160">
        <f t="shared" si="148"/>
        <v>2</v>
      </c>
      <c r="B688" s="1034" t="str">
        <f t="shared" si="148"/>
        <v>Furniture &amp; Fixtures</v>
      </c>
      <c r="C688" s="1162">
        <f t="shared" si="148"/>
        <v>0</v>
      </c>
      <c r="D688" s="1081" t="str">
        <f t="shared" si="148"/>
        <v>-</v>
      </c>
      <c r="E688" s="1163">
        <f t="shared" si="148"/>
        <v>0</v>
      </c>
      <c r="F688" s="1177">
        <f>F590+I590</f>
        <v>3.5748099999999998E-2</v>
      </c>
      <c r="G688" s="1177">
        <f>G590+M590</f>
        <v>3.5748099999999998E-2</v>
      </c>
      <c r="H688" s="1177">
        <f t="shared" si="132"/>
        <v>0</v>
      </c>
      <c r="I688" s="1158">
        <v>0</v>
      </c>
      <c r="J688" s="1158">
        <v>0</v>
      </c>
      <c r="K688" s="1177"/>
      <c r="L688" s="1177"/>
      <c r="M688" s="1177">
        <f t="shared" si="133"/>
        <v>0</v>
      </c>
      <c r="N688" s="1177">
        <f t="shared" si="134"/>
        <v>0</v>
      </c>
    </row>
    <row r="689" spans="1:14" ht="62" outlineLevel="1" x14ac:dyDescent="0.25">
      <c r="A689" s="1160">
        <f t="shared" si="148"/>
        <v>3</v>
      </c>
      <c r="B689" s="1169" t="str">
        <f t="shared" si="148"/>
        <v xml:space="preserve">Replacement of existing 300AH/220VDC &amp; 200AH/220VDC Battery Set with new Lead acid Tubular Battery Set along with Design, manufacture, supply, installation, commissioning &amp; testing at Yeldari &amp; Paithan HPS </v>
      </c>
      <c r="C689" s="1162">
        <f t="shared" si="148"/>
        <v>0</v>
      </c>
      <c r="D689" s="1081" t="str">
        <f t="shared" si="148"/>
        <v>-</v>
      </c>
      <c r="E689" s="1163">
        <f t="shared" si="148"/>
        <v>0</v>
      </c>
      <c r="F689" s="1177">
        <f>F591+I591</f>
        <v>0.22830016</v>
      </c>
      <c r="G689" s="1177">
        <f>G591+M591</f>
        <v>0.22830016</v>
      </c>
      <c r="H689" s="1177">
        <f t="shared" si="132"/>
        <v>0</v>
      </c>
      <c r="I689" s="1158">
        <v>0</v>
      </c>
      <c r="J689" s="1158">
        <v>0</v>
      </c>
      <c r="K689" s="1177"/>
      <c r="L689" s="1177"/>
      <c r="M689" s="1177">
        <f t="shared" si="133"/>
        <v>0</v>
      </c>
      <c r="N689" s="1177">
        <f t="shared" si="134"/>
        <v>0</v>
      </c>
    </row>
    <row r="690" spans="1:14" ht="16" outlineLevel="1" thickBot="1" x14ac:dyDescent="0.3">
      <c r="A690" s="1160">
        <f t="shared" si="148"/>
        <v>4</v>
      </c>
      <c r="B690" s="1169" t="str">
        <f t="shared" si="148"/>
        <v>Vehicle (Fire Tender )</v>
      </c>
      <c r="C690" s="1162">
        <f t="shared" si="148"/>
        <v>0</v>
      </c>
      <c r="D690" s="1081" t="str">
        <f t="shared" si="148"/>
        <v>-</v>
      </c>
      <c r="E690" s="1163">
        <f t="shared" si="148"/>
        <v>0</v>
      </c>
      <c r="F690" s="1177">
        <f>F592+I592</f>
        <v>4.0077621479999994</v>
      </c>
      <c r="G690" s="1177">
        <f>G592+M592</f>
        <v>4.0077621479999994</v>
      </c>
      <c r="H690" s="1177">
        <f t="shared" si="132"/>
        <v>0</v>
      </c>
      <c r="I690" s="1158">
        <v>0</v>
      </c>
      <c r="J690" s="1158">
        <v>0</v>
      </c>
      <c r="K690" s="1177"/>
      <c r="L690" s="1177"/>
      <c r="M690" s="1177">
        <f t="shared" si="133"/>
        <v>0</v>
      </c>
      <c r="N690" s="1177">
        <f t="shared" si="134"/>
        <v>0</v>
      </c>
    </row>
    <row r="691" spans="1:14" ht="15" thickBot="1" x14ac:dyDescent="0.3">
      <c r="A691" s="1080"/>
      <c r="B691" s="1079" t="str">
        <f>B593</f>
        <v>Total</v>
      </c>
      <c r="C691" s="1078"/>
      <c r="D691" s="1077"/>
      <c r="E691" s="1173"/>
      <c r="F691" s="1174">
        <f>SUM(F598:F690)</f>
        <v>310.78986108499987</v>
      </c>
      <c r="G691" s="1174">
        <f>SUM(G598:G690)</f>
        <v>311.42326016699997</v>
      </c>
      <c r="H691" s="1174">
        <f>SUM(H598:H690)</f>
        <v>-0.63339908200000072</v>
      </c>
      <c r="I691" s="1174">
        <f t="shared" ref="I691:J691" si="149">SUM(I598:I690)</f>
        <v>0</v>
      </c>
      <c r="J691" s="1174">
        <f t="shared" si="149"/>
        <v>0</v>
      </c>
      <c r="K691" s="1174">
        <f>SUM(K598:K690)</f>
        <v>0</v>
      </c>
      <c r="L691" s="1174">
        <f>SUM(L598:L690)</f>
        <v>0</v>
      </c>
      <c r="M691" s="1174">
        <f>SUM(M598:M690)</f>
        <v>0</v>
      </c>
      <c r="N691" s="1174">
        <f>SUM(N598:N690)</f>
        <v>-0.63339908200000072</v>
      </c>
    </row>
  </sheetData>
  <mergeCells count="11">
    <mergeCell ref="N4:N6"/>
    <mergeCell ref="A4:A6"/>
    <mergeCell ref="B4:B6"/>
    <mergeCell ref="C4:C6"/>
    <mergeCell ref="D4:D6"/>
    <mergeCell ref="E4:E6"/>
    <mergeCell ref="F4:F6"/>
    <mergeCell ref="G4:G6"/>
    <mergeCell ref="H4:H6"/>
    <mergeCell ref="I4:I6"/>
    <mergeCell ref="J4:M5"/>
  </mergeCells>
  <conditionalFormatting sqref="C11:C13 C109:C111 C128:C138 C30:C102 C113:C119 C142:C200">
    <cfRule type="containsText" dxfId="123" priority="117" operator="containsText" text="DPR not submitted">
      <formula>NOT(ISERROR(SEARCH("DPR not submitted",C11)))</formula>
    </cfRule>
    <cfRule type="containsText" dxfId="122" priority="118" operator="containsText" text="Yet to be approved">
      <formula>NOT(ISERROR(SEARCH("Yet to be approved",C11)))</formula>
    </cfRule>
  </conditionalFormatting>
  <conditionalFormatting sqref="C15:C21">
    <cfRule type="containsText" dxfId="121" priority="123" operator="containsText" text="DPR not submitted">
      <formula>NOT(ISERROR(SEARCH("DPR not submitted",C15)))</formula>
    </cfRule>
    <cfRule type="containsText" dxfId="120" priority="124" operator="containsText" text="Yet to be approved">
      <formula>NOT(ISERROR(SEARCH("Yet to be approved",C15)))</formula>
    </cfRule>
  </conditionalFormatting>
  <conditionalFormatting sqref="C23:C26">
    <cfRule type="containsText" dxfId="119" priority="121" operator="containsText" text="DPR not submitted">
      <formula>NOT(ISERROR(SEARCH("DPR not submitted",C23)))</formula>
    </cfRule>
    <cfRule type="containsText" dxfId="118" priority="122" operator="containsText" text="Yet to be approved">
      <formula>NOT(ISERROR(SEARCH("Yet to be approved",C23)))</formula>
    </cfRule>
  </conditionalFormatting>
  <conditionalFormatting sqref="C28">
    <cfRule type="containsText" dxfId="117" priority="119" operator="containsText" text="DPR not submitted">
      <formula>NOT(ISERROR(SEARCH("DPR not submitted",C28)))</formula>
    </cfRule>
    <cfRule type="containsText" dxfId="116" priority="120" operator="containsText" text="Yet to be approved">
      <formula>NOT(ISERROR(SEARCH("Yet to be approved",C28)))</formula>
    </cfRule>
  </conditionalFormatting>
  <conditionalFormatting sqref="C141">
    <cfRule type="containsText" dxfId="115" priority="115" operator="containsText" text="DPR not submitted">
      <formula>NOT(ISERROR(SEARCH("DPR not submitted",C141)))</formula>
    </cfRule>
    <cfRule type="containsText" dxfId="114" priority="116" operator="containsText" text="Yet to be approved">
      <formula>NOT(ISERROR(SEARCH("Yet to be approved",C141)))</formula>
    </cfRule>
  </conditionalFormatting>
  <conditionalFormatting sqref="C121:C124">
    <cfRule type="containsText" dxfId="113" priority="113" operator="containsText" text="DPR not submitted">
      <formula>NOT(ISERROR(SEARCH("DPR not submitted",C121)))</formula>
    </cfRule>
    <cfRule type="containsText" dxfId="112" priority="114" operator="containsText" text="Yet to be approved">
      <formula>NOT(ISERROR(SEARCH("Yet to be approved",C121)))</formula>
    </cfRule>
  </conditionalFormatting>
  <conditionalFormatting sqref="C126">
    <cfRule type="containsText" dxfId="111" priority="111" operator="containsText" text="DPR not submitted">
      <formula>NOT(ISERROR(SEARCH("DPR not submitted",C126)))</formula>
    </cfRule>
    <cfRule type="containsText" dxfId="110" priority="112" operator="containsText" text="Yet to be approved">
      <formula>NOT(ISERROR(SEARCH("Yet to be approved",C126)))</formula>
    </cfRule>
  </conditionalFormatting>
  <conditionalFormatting sqref="C10">
    <cfRule type="containsText" dxfId="109" priority="109" operator="containsText" text="DPR not submitted">
      <formula>NOT(ISERROR(SEARCH("DPR not submitted",C10)))</formula>
    </cfRule>
    <cfRule type="containsText" dxfId="108" priority="110" operator="containsText" text="Yet to be approved">
      <formula>NOT(ISERROR(SEARCH("Yet to be approved",C10)))</formula>
    </cfRule>
  </conditionalFormatting>
  <conditionalFormatting sqref="C14">
    <cfRule type="containsText" dxfId="107" priority="107" operator="containsText" text="DPR not submitted">
      <formula>NOT(ISERROR(SEARCH("DPR not submitted",C14)))</formula>
    </cfRule>
    <cfRule type="containsText" dxfId="106" priority="108" operator="containsText" text="Yet to be approved">
      <formula>NOT(ISERROR(SEARCH("Yet to be approved",C14)))</formula>
    </cfRule>
  </conditionalFormatting>
  <conditionalFormatting sqref="C112">
    <cfRule type="containsText" dxfId="105" priority="97" operator="containsText" text="DPR not submitted">
      <formula>NOT(ISERROR(SEARCH("DPR not submitted",C112)))</formula>
    </cfRule>
    <cfRule type="containsText" dxfId="104" priority="98" operator="containsText" text="Yet to be approved">
      <formula>NOT(ISERROR(SEARCH("Yet to be approved",C112)))</formula>
    </cfRule>
  </conditionalFormatting>
  <conditionalFormatting sqref="C120">
    <cfRule type="containsText" dxfId="103" priority="95" operator="containsText" text="DPR not submitted">
      <formula>NOT(ISERROR(SEARCH("DPR not submitted",C120)))</formula>
    </cfRule>
    <cfRule type="containsText" dxfId="102" priority="96" operator="containsText" text="Yet to be approved">
      <formula>NOT(ISERROR(SEARCH("Yet to be approved",C120)))</formula>
    </cfRule>
  </conditionalFormatting>
  <conditionalFormatting sqref="C125">
    <cfRule type="containsText" dxfId="101" priority="93" operator="containsText" text="DPR not submitted">
      <formula>NOT(ISERROR(SEARCH("DPR not submitted",C125)))</formula>
    </cfRule>
    <cfRule type="containsText" dxfId="100" priority="94" operator="containsText" text="Yet to be approved">
      <formula>NOT(ISERROR(SEARCH("Yet to be approved",C125)))</formula>
    </cfRule>
  </conditionalFormatting>
  <conditionalFormatting sqref="C127">
    <cfRule type="containsText" dxfId="99" priority="91" operator="containsText" text="DPR not submitted">
      <formula>NOT(ISERROR(SEARCH("DPR not submitted",C127)))</formula>
    </cfRule>
    <cfRule type="containsText" dxfId="98" priority="92" operator="containsText" text="Yet to be approved">
      <formula>NOT(ISERROR(SEARCH("Yet to be approved",C127)))</formula>
    </cfRule>
  </conditionalFormatting>
  <conditionalFormatting sqref="C22">
    <cfRule type="containsText" dxfId="97" priority="105" operator="containsText" text="DPR not submitted">
      <formula>NOT(ISERROR(SEARCH("DPR not submitted",C22)))</formula>
    </cfRule>
    <cfRule type="containsText" dxfId="96" priority="106" operator="containsText" text="Yet to be approved">
      <formula>NOT(ISERROR(SEARCH("Yet to be approved",C22)))</formula>
    </cfRule>
  </conditionalFormatting>
  <conditionalFormatting sqref="C27">
    <cfRule type="containsText" dxfId="95" priority="103" operator="containsText" text="DPR not submitted">
      <formula>NOT(ISERROR(SEARCH("DPR not submitted",C27)))</formula>
    </cfRule>
    <cfRule type="containsText" dxfId="94" priority="104" operator="containsText" text="Yet to be approved">
      <formula>NOT(ISERROR(SEARCH("Yet to be approved",C27)))</formula>
    </cfRule>
  </conditionalFormatting>
  <conditionalFormatting sqref="C29">
    <cfRule type="containsText" dxfId="93" priority="101" operator="containsText" text="DPR not submitted">
      <formula>NOT(ISERROR(SEARCH("DPR not submitted",C29)))</formula>
    </cfRule>
    <cfRule type="containsText" dxfId="92" priority="102" operator="containsText" text="Yet to be approved">
      <formula>NOT(ISERROR(SEARCH("Yet to be approved",C29)))</formula>
    </cfRule>
  </conditionalFormatting>
  <conditionalFormatting sqref="C108">
    <cfRule type="containsText" dxfId="91" priority="99" operator="containsText" text="DPR not submitted">
      <formula>NOT(ISERROR(SEARCH("DPR not submitted",C108)))</formula>
    </cfRule>
    <cfRule type="containsText" dxfId="90" priority="100" operator="containsText" text="Yet to be approved">
      <formula>NOT(ISERROR(SEARCH("Yet to be approved",C108)))</formula>
    </cfRule>
  </conditionalFormatting>
  <conditionalFormatting sqref="C207:C209 C226:C236 C211:C217 C240:C298">
    <cfRule type="containsText" dxfId="89" priority="89" operator="containsText" text="DPR not submitted">
      <formula>NOT(ISERROR(SEARCH("DPR not submitted",C207)))</formula>
    </cfRule>
    <cfRule type="containsText" dxfId="88" priority="90" operator="containsText" text="Yet to be approved">
      <formula>NOT(ISERROR(SEARCH("Yet to be approved",C207)))</formula>
    </cfRule>
  </conditionalFormatting>
  <conditionalFormatting sqref="C239">
    <cfRule type="containsText" dxfId="87" priority="87" operator="containsText" text="DPR not submitted">
      <formula>NOT(ISERROR(SEARCH("DPR not submitted",C239)))</formula>
    </cfRule>
    <cfRule type="containsText" dxfId="86" priority="88" operator="containsText" text="Yet to be approved">
      <formula>NOT(ISERROR(SEARCH("Yet to be approved",C239)))</formula>
    </cfRule>
  </conditionalFormatting>
  <conditionalFormatting sqref="C219:C222">
    <cfRule type="containsText" dxfId="85" priority="85" operator="containsText" text="DPR not submitted">
      <formula>NOT(ISERROR(SEARCH("DPR not submitted",C219)))</formula>
    </cfRule>
    <cfRule type="containsText" dxfId="84" priority="86" operator="containsText" text="Yet to be approved">
      <formula>NOT(ISERROR(SEARCH("Yet to be approved",C219)))</formula>
    </cfRule>
  </conditionalFormatting>
  <conditionalFormatting sqref="C224">
    <cfRule type="containsText" dxfId="83" priority="83" operator="containsText" text="DPR not submitted">
      <formula>NOT(ISERROR(SEARCH("DPR not submitted",C224)))</formula>
    </cfRule>
    <cfRule type="containsText" dxfId="82" priority="84" operator="containsText" text="Yet to be approved">
      <formula>NOT(ISERROR(SEARCH("Yet to be approved",C224)))</formula>
    </cfRule>
  </conditionalFormatting>
  <conditionalFormatting sqref="C223">
    <cfRule type="containsText" dxfId="81" priority="75" operator="containsText" text="DPR not submitted">
      <formula>NOT(ISERROR(SEARCH("DPR not submitted",C223)))</formula>
    </cfRule>
    <cfRule type="containsText" dxfId="80" priority="76" operator="containsText" text="Yet to be approved">
      <formula>NOT(ISERROR(SEARCH("Yet to be approved",C223)))</formula>
    </cfRule>
  </conditionalFormatting>
  <conditionalFormatting sqref="C225">
    <cfRule type="containsText" dxfId="79" priority="73" operator="containsText" text="DPR not submitted">
      <formula>NOT(ISERROR(SEARCH("DPR not submitted",C225)))</formula>
    </cfRule>
    <cfRule type="containsText" dxfId="78" priority="74" operator="containsText" text="Yet to be approved">
      <formula>NOT(ISERROR(SEARCH("Yet to be approved",C225)))</formula>
    </cfRule>
  </conditionalFormatting>
  <conditionalFormatting sqref="C305:C307 C324:C334 C309:C315 C338:C396">
    <cfRule type="containsText" dxfId="77" priority="71" operator="containsText" text="DPR not submitted">
      <formula>NOT(ISERROR(SEARCH("DPR not submitted",C305)))</formula>
    </cfRule>
    <cfRule type="containsText" dxfId="76" priority="72" operator="containsText" text="Yet to be approved">
      <formula>NOT(ISERROR(SEARCH("Yet to be approved",C305)))</formula>
    </cfRule>
  </conditionalFormatting>
  <conditionalFormatting sqref="C337">
    <cfRule type="containsText" dxfId="75" priority="69" operator="containsText" text="DPR not submitted">
      <formula>NOT(ISERROR(SEARCH("DPR not submitted",C337)))</formula>
    </cfRule>
    <cfRule type="containsText" dxfId="74" priority="70" operator="containsText" text="Yet to be approved">
      <formula>NOT(ISERROR(SEARCH("Yet to be approved",C337)))</formula>
    </cfRule>
  </conditionalFormatting>
  <conditionalFormatting sqref="C317:C320">
    <cfRule type="containsText" dxfId="73" priority="67" operator="containsText" text="DPR not submitted">
      <formula>NOT(ISERROR(SEARCH("DPR not submitted",C317)))</formula>
    </cfRule>
    <cfRule type="containsText" dxfId="72" priority="68" operator="containsText" text="Yet to be approved">
      <formula>NOT(ISERROR(SEARCH("Yet to be approved",C317)))</formula>
    </cfRule>
  </conditionalFormatting>
  <conditionalFormatting sqref="C322">
    <cfRule type="containsText" dxfId="71" priority="65" operator="containsText" text="DPR not submitted">
      <formula>NOT(ISERROR(SEARCH("DPR not submitted",C322)))</formula>
    </cfRule>
    <cfRule type="containsText" dxfId="70" priority="66" operator="containsText" text="Yet to be approved">
      <formula>NOT(ISERROR(SEARCH("Yet to be approved",C322)))</formula>
    </cfRule>
  </conditionalFormatting>
  <conditionalFormatting sqref="C206">
    <cfRule type="containsText" dxfId="69" priority="81" operator="containsText" text="DPR not submitted">
      <formula>NOT(ISERROR(SEARCH("DPR not submitted",C206)))</formula>
    </cfRule>
    <cfRule type="containsText" dxfId="68" priority="82" operator="containsText" text="Yet to be approved">
      <formula>NOT(ISERROR(SEARCH("Yet to be approved",C206)))</formula>
    </cfRule>
  </conditionalFormatting>
  <conditionalFormatting sqref="C210">
    <cfRule type="containsText" dxfId="67" priority="79" operator="containsText" text="DPR not submitted">
      <formula>NOT(ISERROR(SEARCH("DPR not submitted",C210)))</formula>
    </cfRule>
    <cfRule type="containsText" dxfId="66" priority="80" operator="containsText" text="Yet to be approved">
      <formula>NOT(ISERROR(SEARCH("Yet to be approved",C210)))</formula>
    </cfRule>
  </conditionalFormatting>
  <conditionalFormatting sqref="C218">
    <cfRule type="containsText" dxfId="65" priority="77" operator="containsText" text="DPR not submitted">
      <formula>NOT(ISERROR(SEARCH("DPR not submitted",C218)))</formula>
    </cfRule>
    <cfRule type="containsText" dxfId="64" priority="78" operator="containsText" text="Yet to be approved">
      <formula>NOT(ISERROR(SEARCH("Yet to be approved",C218)))</formula>
    </cfRule>
  </conditionalFormatting>
  <conditionalFormatting sqref="C321">
    <cfRule type="containsText" dxfId="63" priority="57" operator="containsText" text="DPR not submitted">
      <formula>NOT(ISERROR(SEARCH("DPR not submitted",C321)))</formula>
    </cfRule>
    <cfRule type="containsText" dxfId="62" priority="58" operator="containsText" text="Yet to be approved">
      <formula>NOT(ISERROR(SEARCH("Yet to be approved",C321)))</formula>
    </cfRule>
  </conditionalFormatting>
  <conditionalFormatting sqref="C304">
    <cfRule type="containsText" dxfId="61" priority="63" operator="containsText" text="DPR not submitted">
      <formula>NOT(ISERROR(SEARCH("DPR not submitted",C304)))</formula>
    </cfRule>
    <cfRule type="containsText" dxfId="60" priority="64" operator="containsText" text="Yet to be approved">
      <formula>NOT(ISERROR(SEARCH("Yet to be approved",C304)))</formula>
    </cfRule>
  </conditionalFormatting>
  <conditionalFormatting sqref="C308">
    <cfRule type="containsText" dxfId="59" priority="61" operator="containsText" text="DPR not submitted">
      <formula>NOT(ISERROR(SEARCH("DPR not submitted",C308)))</formula>
    </cfRule>
    <cfRule type="containsText" dxfId="58" priority="62" operator="containsText" text="Yet to be approved">
      <formula>NOT(ISERROR(SEARCH("Yet to be approved",C308)))</formula>
    </cfRule>
  </conditionalFormatting>
  <conditionalFormatting sqref="C316">
    <cfRule type="containsText" dxfId="57" priority="59" operator="containsText" text="DPR not submitted">
      <formula>NOT(ISERROR(SEARCH("DPR not submitted",C316)))</formula>
    </cfRule>
    <cfRule type="containsText" dxfId="56" priority="60" operator="containsText" text="Yet to be approved">
      <formula>NOT(ISERROR(SEARCH("Yet to be approved",C316)))</formula>
    </cfRule>
  </conditionalFormatting>
  <conditionalFormatting sqref="C323">
    <cfRule type="containsText" dxfId="55" priority="55" operator="containsText" text="DPR not submitted">
      <formula>NOT(ISERROR(SEARCH("DPR not submitted",C323)))</formula>
    </cfRule>
    <cfRule type="containsText" dxfId="54" priority="56" operator="containsText" text="Yet to be approved">
      <formula>NOT(ISERROR(SEARCH("Yet to be approved",C323)))</formula>
    </cfRule>
  </conditionalFormatting>
  <conditionalFormatting sqref="C403:C405 C422:C432 C407:C413 C436:C494">
    <cfRule type="containsText" dxfId="53" priority="53" operator="containsText" text="DPR not submitted">
      <formula>NOT(ISERROR(SEARCH("DPR not submitted",C403)))</formula>
    </cfRule>
    <cfRule type="containsText" dxfId="52" priority="54" operator="containsText" text="Yet to be approved">
      <formula>NOT(ISERROR(SEARCH("Yet to be approved",C403)))</formula>
    </cfRule>
  </conditionalFormatting>
  <conditionalFormatting sqref="C435">
    <cfRule type="containsText" dxfId="51" priority="51" operator="containsText" text="DPR not submitted">
      <formula>NOT(ISERROR(SEARCH("DPR not submitted",C435)))</formula>
    </cfRule>
    <cfRule type="containsText" dxfId="50" priority="52" operator="containsText" text="Yet to be approved">
      <formula>NOT(ISERROR(SEARCH("Yet to be approved",C435)))</formula>
    </cfRule>
  </conditionalFormatting>
  <conditionalFormatting sqref="C415:C418">
    <cfRule type="containsText" dxfId="49" priority="49" operator="containsText" text="DPR not submitted">
      <formula>NOT(ISERROR(SEARCH("DPR not submitted",C415)))</formula>
    </cfRule>
    <cfRule type="containsText" dxfId="48" priority="50" operator="containsText" text="Yet to be approved">
      <formula>NOT(ISERROR(SEARCH("Yet to be approved",C415)))</formula>
    </cfRule>
  </conditionalFormatting>
  <conditionalFormatting sqref="C420">
    <cfRule type="containsText" dxfId="47" priority="47" operator="containsText" text="DPR not submitted">
      <formula>NOT(ISERROR(SEARCH("DPR not submitted",C420)))</formula>
    </cfRule>
    <cfRule type="containsText" dxfId="46" priority="48" operator="containsText" text="Yet to be approved">
      <formula>NOT(ISERROR(SEARCH("Yet to be approved",C420)))</formula>
    </cfRule>
  </conditionalFormatting>
  <conditionalFormatting sqref="C402">
    <cfRule type="containsText" dxfId="45" priority="45" operator="containsText" text="DPR not submitted">
      <formula>NOT(ISERROR(SEARCH("DPR not submitted",C402)))</formula>
    </cfRule>
    <cfRule type="containsText" dxfId="44" priority="46" operator="containsText" text="Yet to be approved">
      <formula>NOT(ISERROR(SEARCH("Yet to be approved",C402)))</formula>
    </cfRule>
  </conditionalFormatting>
  <conditionalFormatting sqref="C406">
    <cfRule type="containsText" dxfId="43" priority="43" operator="containsText" text="DPR not submitted">
      <formula>NOT(ISERROR(SEARCH("DPR not submitted",C406)))</formula>
    </cfRule>
    <cfRule type="containsText" dxfId="42" priority="44" operator="containsText" text="Yet to be approved">
      <formula>NOT(ISERROR(SEARCH("Yet to be approved",C406)))</formula>
    </cfRule>
  </conditionalFormatting>
  <conditionalFormatting sqref="C414">
    <cfRule type="containsText" dxfId="41" priority="41" operator="containsText" text="DPR not submitted">
      <formula>NOT(ISERROR(SEARCH("DPR not submitted",C414)))</formula>
    </cfRule>
    <cfRule type="containsText" dxfId="40" priority="42" operator="containsText" text="Yet to be approved">
      <formula>NOT(ISERROR(SEARCH("Yet to be approved",C414)))</formula>
    </cfRule>
  </conditionalFormatting>
  <conditionalFormatting sqref="C419">
    <cfRule type="containsText" dxfId="39" priority="39" operator="containsText" text="DPR not submitted">
      <formula>NOT(ISERROR(SEARCH("DPR not submitted",C419)))</formula>
    </cfRule>
    <cfRule type="containsText" dxfId="38" priority="40" operator="containsText" text="Yet to be approved">
      <formula>NOT(ISERROR(SEARCH("Yet to be approved",C419)))</formula>
    </cfRule>
  </conditionalFormatting>
  <conditionalFormatting sqref="C421">
    <cfRule type="containsText" dxfId="37" priority="37" operator="containsText" text="DPR not submitted">
      <formula>NOT(ISERROR(SEARCH("DPR not submitted",C421)))</formula>
    </cfRule>
    <cfRule type="containsText" dxfId="36" priority="38" operator="containsText" text="Yet to be approved">
      <formula>NOT(ISERROR(SEARCH("Yet to be approved",C421)))</formula>
    </cfRule>
  </conditionalFormatting>
  <conditionalFormatting sqref="C501:C503 C520:C530 C505:C511 C534:C592">
    <cfRule type="containsText" dxfId="35" priority="35" operator="containsText" text="DPR not submitted">
      <formula>NOT(ISERROR(SEARCH("DPR not submitted",C501)))</formula>
    </cfRule>
    <cfRule type="containsText" dxfId="34" priority="36" operator="containsText" text="Yet to be approved">
      <formula>NOT(ISERROR(SEARCH("Yet to be approved",C501)))</formula>
    </cfRule>
  </conditionalFormatting>
  <conditionalFormatting sqref="C533">
    <cfRule type="containsText" dxfId="33" priority="33" operator="containsText" text="DPR not submitted">
      <formula>NOT(ISERROR(SEARCH("DPR not submitted",C533)))</formula>
    </cfRule>
    <cfRule type="containsText" dxfId="32" priority="34" operator="containsText" text="Yet to be approved">
      <formula>NOT(ISERROR(SEARCH("Yet to be approved",C533)))</formula>
    </cfRule>
  </conditionalFormatting>
  <conditionalFormatting sqref="C513:C516">
    <cfRule type="containsText" dxfId="31" priority="31" operator="containsText" text="DPR not submitted">
      <formula>NOT(ISERROR(SEARCH("DPR not submitted",C513)))</formula>
    </cfRule>
    <cfRule type="containsText" dxfId="30" priority="32" operator="containsText" text="Yet to be approved">
      <formula>NOT(ISERROR(SEARCH("Yet to be approved",C513)))</formula>
    </cfRule>
  </conditionalFormatting>
  <conditionalFormatting sqref="C518">
    <cfRule type="containsText" dxfId="29" priority="29" operator="containsText" text="DPR not submitted">
      <formula>NOT(ISERROR(SEARCH("DPR not submitted",C518)))</formula>
    </cfRule>
    <cfRule type="containsText" dxfId="28" priority="30" operator="containsText" text="Yet to be approved">
      <formula>NOT(ISERROR(SEARCH("Yet to be approved",C518)))</formula>
    </cfRule>
  </conditionalFormatting>
  <conditionalFormatting sqref="C500">
    <cfRule type="containsText" dxfId="27" priority="27" operator="containsText" text="DPR not submitted">
      <formula>NOT(ISERROR(SEARCH("DPR not submitted",C500)))</formula>
    </cfRule>
    <cfRule type="containsText" dxfId="26" priority="28" operator="containsText" text="Yet to be approved">
      <formula>NOT(ISERROR(SEARCH("Yet to be approved",C500)))</formula>
    </cfRule>
  </conditionalFormatting>
  <conditionalFormatting sqref="C504">
    <cfRule type="containsText" dxfId="25" priority="25" operator="containsText" text="DPR not submitted">
      <formula>NOT(ISERROR(SEARCH("DPR not submitted",C504)))</formula>
    </cfRule>
    <cfRule type="containsText" dxfId="24" priority="26" operator="containsText" text="Yet to be approved">
      <formula>NOT(ISERROR(SEARCH("Yet to be approved",C504)))</formula>
    </cfRule>
  </conditionalFormatting>
  <conditionalFormatting sqref="C512">
    <cfRule type="containsText" dxfId="23" priority="23" operator="containsText" text="DPR not submitted">
      <formula>NOT(ISERROR(SEARCH("DPR not submitted",C512)))</formula>
    </cfRule>
    <cfRule type="containsText" dxfId="22" priority="24" operator="containsText" text="Yet to be approved">
      <formula>NOT(ISERROR(SEARCH("Yet to be approved",C512)))</formula>
    </cfRule>
  </conditionalFormatting>
  <conditionalFormatting sqref="C517">
    <cfRule type="containsText" dxfId="21" priority="21" operator="containsText" text="DPR not submitted">
      <formula>NOT(ISERROR(SEARCH("DPR not submitted",C517)))</formula>
    </cfRule>
    <cfRule type="containsText" dxfId="20" priority="22" operator="containsText" text="Yet to be approved">
      <formula>NOT(ISERROR(SEARCH("Yet to be approved",C517)))</formula>
    </cfRule>
  </conditionalFormatting>
  <conditionalFormatting sqref="C519">
    <cfRule type="containsText" dxfId="19" priority="19" operator="containsText" text="DPR not submitted">
      <formula>NOT(ISERROR(SEARCH("DPR not submitted",C519)))</formula>
    </cfRule>
    <cfRule type="containsText" dxfId="18" priority="20" operator="containsText" text="Yet to be approved">
      <formula>NOT(ISERROR(SEARCH("Yet to be approved",C519)))</formula>
    </cfRule>
  </conditionalFormatting>
  <conditionalFormatting sqref="C599:C601 C618:C628 C603:C609 C632:C690">
    <cfRule type="containsText" dxfId="17" priority="17" operator="containsText" text="DPR not submitted">
      <formula>NOT(ISERROR(SEARCH("DPR not submitted",C599)))</formula>
    </cfRule>
    <cfRule type="containsText" dxfId="16" priority="18" operator="containsText" text="Yet to be approved">
      <formula>NOT(ISERROR(SEARCH("Yet to be approved",C599)))</formula>
    </cfRule>
  </conditionalFormatting>
  <conditionalFormatting sqref="C631">
    <cfRule type="containsText" dxfId="15" priority="15" operator="containsText" text="DPR not submitted">
      <formula>NOT(ISERROR(SEARCH("DPR not submitted",C631)))</formula>
    </cfRule>
    <cfRule type="containsText" dxfId="14" priority="16" operator="containsText" text="Yet to be approved">
      <formula>NOT(ISERROR(SEARCH("Yet to be approved",C631)))</formula>
    </cfRule>
  </conditionalFormatting>
  <conditionalFormatting sqref="C611:C614">
    <cfRule type="containsText" dxfId="13" priority="13" operator="containsText" text="DPR not submitted">
      <formula>NOT(ISERROR(SEARCH("DPR not submitted",C611)))</formula>
    </cfRule>
    <cfRule type="containsText" dxfId="12" priority="14" operator="containsText" text="Yet to be approved">
      <formula>NOT(ISERROR(SEARCH("Yet to be approved",C611)))</formula>
    </cfRule>
  </conditionalFormatting>
  <conditionalFormatting sqref="C616">
    <cfRule type="containsText" dxfId="11" priority="11" operator="containsText" text="DPR not submitted">
      <formula>NOT(ISERROR(SEARCH("DPR not submitted",C616)))</formula>
    </cfRule>
    <cfRule type="containsText" dxfId="10" priority="12" operator="containsText" text="Yet to be approved">
      <formula>NOT(ISERROR(SEARCH("Yet to be approved",C616)))</formula>
    </cfRule>
  </conditionalFormatting>
  <conditionalFormatting sqref="C598">
    <cfRule type="containsText" dxfId="9" priority="9" operator="containsText" text="DPR not submitted">
      <formula>NOT(ISERROR(SEARCH("DPR not submitted",C598)))</formula>
    </cfRule>
    <cfRule type="containsText" dxfId="8" priority="10" operator="containsText" text="Yet to be approved">
      <formula>NOT(ISERROR(SEARCH("Yet to be approved",C598)))</formula>
    </cfRule>
  </conditionalFormatting>
  <conditionalFormatting sqref="C602">
    <cfRule type="containsText" dxfId="7" priority="7" operator="containsText" text="DPR not submitted">
      <formula>NOT(ISERROR(SEARCH("DPR not submitted",C602)))</formula>
    </cfRule>
    <cfRule type="containsText" dxfId="6" priority="8" operator="containsText" text="Yet to be approved">
      <formula>NOT(ISERROR(SEARCH("Yet to be approved",C602)))</formula>
    </cfRule>
  </conditionalFormatting>
  <conditionalFormatting sqref="C610">
    <cfRule type="containsText" dxfId="5" priority="5" operator="containsText" text="DPR not submitted">
      <formula>NOT(ISERROR(SEARCH("DPR not submitted",C610)))</formula>
    </cfRule>
    <cfRule type="containsText" dxfId="4" priority="6" operator="containsText" text="Yet to be approved">
      <formula>NOT(ISERROR(SEARCH("Yet to be approved",C610)))</formula>
    </cfRule>
  </conditionalFormatting>
  <conditionalFormatting sqref="C615">
    <cfRule type="containsText" dxfId="3" priority="3" operator="containsText" text="DPR not submitted">
      <formula>NOT(ISERROR(SEARCH("DPR not submitted",C615)))</formula>
    </cfRule>
    <cfRule type="containsText" dxfId="2" priority="4" operator="containsText" text="Yet to be approved">
      <formula>NOT(ISERROR(SEARCH("Yet to be approved",C615)))</formula>
    </cfRule>
  </conditionalFormatting>
  <conditionalFormatting sqref="C617">
    <cfRule type="containsText" dxfId="1" priority="1" operator="containsText" text="DPR not submitted">
      <formula>NOT(ISERROR(SEARCH("DPR not submitted",C617)))</formula>
    </cfRule>
    <cfRule type="containsText" dxfId="0" priority="2" operator="containsText" text="Yet to be approved">
      <formula>NOT(ISERROR(SEARCH("Yet to be approved",C617)))</formula>
    </cfRule>
  </conditionalFormatting>
  <printOptions horizontalCentered="1"/>
  <pageMargins left="0.35433070866141736" right="0" top="0.23622047244094491" bottom="0.23622047244094491" header="0.23622047244094491" footer="0.23622047244094491"/>
  <pageSetup paperSize="9" scale="63" orientation="landscape" r:id="rId1"/>
  <headerFooter alignWithMargins="0">
    <oddHeader>&amp;F</oddHeader>
  </headerFooter>
  <rowBreaks count="5" manualBreakCount="5">
    <brk id="103" max="13" man="1"/>
    <brk id="201" max="13" man="1"/>
    <brk id="299" max="13" man="1"/>
    <brk id="397" max="13" man="1"/>
    <brk id="495"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166"/>
  <sheetViews>
    <sheetView showGridLines="0" topLeftCell="B2" zoomScale="70" zoomScaleNormal="70" workbookViewId="0">
      <selection activeCell="E15" sqref="E15"/>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52"/>
    </row>
    <row r="2" spans="1:23" x14ac:dyDescent="0.3">
      <c r="B2" s="52"/>
    </row>
    <row r="3" spans="1:23" x14ac:dyDescent="0.3">
      <c r="B3" s="52"/>
    </row>
    <row r="4" spans="1:23" x14ac:dyDescent="0.3">
      <c r="B4" s="18"/>
      <c r="I4" s="17"/>
      <c r="J4" s="17"/>
      <c r="K4" s="866" t="str">
        <f>Index!B2</f>
        <v xml:space="preserve">      Maharashtra State Power Generation Company Ltd.</v>
      </c>
      <c r="L4" s="866"/>
      <c r="M4" s="17"/>
      <c r="N4" s="17"/>
      <c r="O4" s="17"/>
      <c r="P4" s="17"/>
      <c r="Q4" s="17"/>
      <c r="R4" s="17"/>
    </row>
    <row r="5" spans="1:23" x14ac:dyDescent="0.3">
      <c r="B5" s="18"/>
      <c r="I5" s="62"/>
      <c r="J5" s="62"/>
      <c r="K5" s="898" t="str">
        <f>Index!B3</f>
        <v>MYT Petition Formats for SHP Hydro</v>
      </c>
      <c r="L5" s="866"/>
      <c r="M5" s="62"/>
      <c r="N5" s="62"/>
      <c r="O5" s="62"/>
      <c r="P5" s="62"/>
      <c r="Q5" s="62"/>
      <c r="R5" s="62"/>
    </row>
    <row r="6" spans="1:23" x14ac:dyDescent="0.3">
      <c r="B6" s="17"/>
      <c r="I6" s="63"/>
      <c r="J6" s="64"/>
      <c r="K6" s="133" t="s">
        <v>1405</v>
      </c>
      <c r="L6" s="69"/>
      <c r="M6" s="64"/>
      <c r="N6" s="18"/>
      <c r="O6" s="17"/>
      <c r="P6" s="17"/>
      <c r="Q6" s="17"/>
      <c r="R6" s="17"/>
    </row>
    <row r="7" spans="1:23" x14ac:dyDescent="0.3">
      <c r="C7" s="18"/>
      <c r="D7" s="18"/>
      <c r="E7" s="18"/>
      <c r="F7" s="18"/>
      <c r="G7" s="18"/>
      <c r="H7" s="18"/>
      <c r="J7" s="6"/>
      <c r="M7" s="6"/>
      <c r="N7" s="6"/>
    </row>
    <row r="8" spans="1:23" x14ac:dyDescent="0.3">
      <c r="A8" s="5" t="s">
        <v>265</v>
      </c>
      <c r="B8" s="868" t="s">
        <v>266</v>
      </c>
      <c r="C8" s="868"/>
      <c r="D8" s="868"/>
      <c r="E8" s="868"/>
      <c r="F8" s="868"/>
      <c r="G8" s="868"/>
      <c r="H8" s="868"/>
      <c r="I8" s="1"/>
      <c r="J8" s="42"/>
      <c r="K8" s="1"/>
      <c r="L8" s="1"/>
      <c r="M8" s="42"/>
      <c r="N8" s="42"/>
      <c r="O8" s="1"/>
      <c r="P8" s="1"/>
      <c r="Q8" s="1"/>
      <c r="R8" s="289"/>
    </row>
    <row r="9" spans="1:23" x14ac:dyDescent="0.3">
      <c r="B9" s="296"/>
      <c r="C9" s="8"/>
      <c r="D9" s="8"/>
      <c r="E9" s="8"/>
      <c r="F9" s="8"/>
      <c r="G9" s="8"/>
      <c r="H9" s="8"/>
      <c r="I9" s="1"/>
      <c r="J9" s="42"/>
      <c r="K9" s="1"/>
      <c r="L9" s="1"/>
      <c r="M9" s="297" t="s">
        <v>10</v>
      </c>
      <c r="N9" s="42"/>
      <c r="O9" s="1"/>
      <c r="P9" s="1"/>
      <c r="Q9" s="1"/>
    </row>
    <row r="10" spans="1:23" ht="15.75" customHeight="1" x14ac:dyDescent="0.3">
      <c r="B10" s="1521" t="s">
        <v>343</v>
      </c>
      <c r="C10" s="1521" t="s">
        <v>37</v>
      </c>
      <c r="D10" s="1652" t="s">
        <v>519</v>
      </c>
      <c r="E10" s="1652"/>
      <c r="F10" s="1652"/>
      <c r="G10" s="1652"/>
      <c r="H10" s="1652"/>
      <c r="I10" s="1652" t="s">
        <v>520</v>
      </c>
      <c r="J10" s="1652"/>
      <c r="K10" s="1652"/>
      <c r="L10" s="1652"/>
      <c r="M10" s="1652"/>
      <c r="N10" s="1648" t="s">
        <v>521</v>
      </c>
      <c r="O10" s="1648"/>
      <c r="P10" s="1648"/>
      <c r="Q10" s="1648"/>
      <c r="R10" s="1648"/>
      <c r="S10" s="1648" t="s">
        <v>940</v>
      </c>
      <c r="T10" s="1648"/>
      <c r="U10" s="1648"/>
      <c r="V10" s="1648"/>
      <c r="W10" s="1648"/>
    </row>
    <row r="11" spans="1:23" ht="15.75" customHeight="1" x14ac:dyDescent="0.3">
      <c r="B11" s="1521"/>
      <c r="C11" s="1521"/>
      <c r="D11" s="1654" t="s">
        <v>7</v>
      </c>
      <c r="E11" s="1655"/>
      <c r="F11" s="1655"/>
      <c r="G11" s="1655"/>
      <c r="H11" s="1655"/>
      <c r="I11" s="1654" t="s">
        <v>7</v>
      </c>
      <c r="J11" s="1655"/>
      <c r="K11" s="1655"/>
      <c r="L11" s="1655"/>
      <c r="M11" s="1655"/>
      <c r="N11" s="1654" t="s">
        <v>12</v>
      </c>
      <c r="O11" s="1655"/>
      <c r="P11" s="1655"/>
      <c r="Q11" s="1655"/>
      <c r="R11" s="1655"/>
      <c r="S11" s="1652" t="s">
        <v>21</v>
      </c>
      <c r="T11" s="1653"/>
      <c r="U11" s="1653"/>
      <c r="V11" s="1653"/>
      <c r="W11" s="1653"/>
    </row>
    <row r="12" spans="1:23" s="34" customFormat="1" ht="42" x14ac:dyDescent="0.3">
      <c r="B12" s="1521"/>
      <c r="C12" s="1521"/>
      <c r="D12" s="867" t="s">
        <v>267</v>
      </c>
      <c r="E12" s="867" t="s">
        <v>268</v>
      </c>
      <c r="F12" s="867" t="s">
        <v>269</v>
      </c>
      <c r="G12" s="867" t="s">
        <v>601</v>
      </c>
      <c r="H12" s="867" t="s">
        <v>270</v>
      </c>
      <c r="I12" s="867" t="s">
        <v>267</v>
      </c>
      <c r="J12" s="867" t="s">
        <v>268</v>
      </c>
      <c r="K12" s="867" t="s">
        <v>269</v>
      </c>
      <c r="L12" s="867" t="s">
        <v>601</v>
      </c>
      <c r="M12" s="867" t="s">
        <v>270</v>
      </c>
      <c r="N12" s="869" t="s">
        <v>267</v>
      </c>
      <c r="O12" s="869" t="s">
        <v>268</v>
      </c>
      <c r="P12" s="869" t="s">
        <v>269</v>
      </c>
      <c r="Q12" s="867" t="s">
        <v>601</v>
      </c>
      <c r="R12" s="869" t="s">
        <v>270</v>
      </c>
      <c r="S12" s="869" t="s">
        <v>267</v>
      </c>
      <c r="T12" s="869" t="s">
        <v>268</v>
      </c>
      <c r="U12" s="869" t="s">
        <v>269</v>
      </c>
      <c r="V12" s="867" t="s">
        <v>601</v>
      </c>
      <c r="W12" s="869" t="s">
        <v>270</v>
      </c>
    </row>
    <row r="13" spans="1:23" s="35" customFormat="1" ht="28" x14ac:dyDescent="0.25">
      <c r="B13" s="298"/>
      <c r="C13" s="298"/>
      <c r="D13" s="298" t="s">
        <v>81</v>
      </c>
      <c r="E13" s="298" t="s">
        <v>82</v>
      </c>
      <c r="F13" s="298" t="s">
        <v>472</v>
      </c>
      <c r="G13" s="298" t="s">
        <v>397</v>
      </c>
      <c r="H13" s="298" t="s">
        <v>602</v>
      </c>
      <c r="I13" s="298" t="s">
        <v>414</v>
      </c>
      <c r="J13" s="298" t="s">
        <v>522</v>
      </c>
      <c r="K13" s="298" t="s">
        <v>415</v>
      </c>
      <c r="L13" s="298" t="s">
        <v>416</v>
      </c>
      <c r="M13" s="298" t="s">
        <v>669</v>
      </c>
      <c r="N13" s="298" t="s">
        <v>603</v>
      </c>
      <c r="O13" s="298" t="s">
        <v>670</v>
      </c>
      <c r="P13" s="298" t="s">
        <v>604</v>
      </c>
      <c r="Q13" s="298" t="s">
        <v>605</v>
      </c>
      <c r="R13" s="298" t="s">
        <v>671</v>
      </c>
      <c r="S13" s="298" t="s">
        <v>606</v>
      </c>
      <c r="T13" s="298" t="s">
        <v>607</v>
      </c>
      <c r="U13" s="298" t="s">
        <v>672</v>
      </c>
      <c r="V13" s="298" t="s">
        <v>608</v>
      </c>
      <c r="W13" s="298" t="s">
        <v>999</v>
      </c>
    </row>
    <row r="14" spans="1:23" s="603" customFormat="1" x14ac:dyDescent="0.3">
      <c r="B14" s="492">
        <v>1</v>
      </c>
      <c r="C14" s="497" t="s">
        <v>860</v>
      </c>
      <c r="D14" s="498">
        <f>'F5'!D14</f>
        <v>3.6840629179811686E-2</v>
      </c>
      <c r="E14" s="498">
        <f>'F5'!E14</f>
        <v>0</v>
      </c>
      <c r="F14" s="498">
        <f>'F5'!F14</f>
        <v>0</v>
      </c>
      <c r="G14" s="498">
        <f>'F5'!G14</f>
        <v>0</v>
      </c>
      <c r="H14" s="498">
        <f>D14+E14-F14-G14</f>
        <v>3.6840629179811686E-2</v>
      </c>
      <c r="I14" s="494">
        <f>H14</f>
        <v>3.6840629179811686E-2</v>
      </c>
      <c r="J14" s="498">
        <f>'F5'!J14</f>
        <v>0</v>
      </c>
      <c r="K14" s="498">
        <f>'F5'!K14</f>
        <v>0</v>
      </c>
      <c r="L14" s="498">
        <f>'F5'!L14</f>
        <v>0</v>
      </c>
      <c r="M14" s="494">
        <f>I14+J14-K14-L14</f>
        <v>3.6840629179811686E-2</v>
      </c>
      <c r="N14" s="498">
        <f t="shared" ref="N14:N30" si="0">M14</f>
        <v>3.6840629179811686E-2</v>
      </c>
      <c r="O14" s="498">
        <f>'F5'!O14</f>
        <v>0</v>
      </c>
      <c r="P14" s="498">
        <f>'F5'!P14</f>
        <v>0</v>
      </c>
      <c r="Q14" s="498">
        <f>'F5'!Q14</f>
        <v>0</v>
      </c>
      <c r="R14" s="498">
        <f>N14+O14-P14-Q14</f>
        <v>3.6840629179811686E-2</v>
      </c>
      <c r="S14" s="494">
        <f>'F5'!S14+'F5.1 (N)'!D16</f>
        <v>3.6840629179811686E-2</v>
      </c>
      <c r="T14" s="498">
        <f>'F5'!T14+'F5.1 (N)'!E16</f>
        <v>0</v>
      </c>
      <c r="U14" s="498">
        <f>'F5'!U14+'F5.1 (N)'!F16</f>
        <v>0</v>
      </c>
      <c r="V14" s="498">
        <f>'F5'!V14+'F5.1 (N)'!G16</f>
        <v>0</v>
      </c>
      <c r="W14" s="494">
        <f>S14+T14-U14-V14</f>
        <v>3.6840629179811686E-2</v>
      </c>
    </row>
    <row r="15" spans="1:23" s="603" customFormat="1" x14ac:dyDescent="0.3">
      <c r="B15" s="492">
        <f>B14+1</f>
        <v>2</v>
      </c>
      <c r="C15" s="497" t="s">
        <v>255</v>
      </c>
      <c r="D15" s="498">
        <f>'F5'!D15</f>
        <v>10.032828365799277</v>
      </c>
      <c r="E15" s="498">
        <f>'F5'!E15</f>
        <v>0.1500322</v>
      </c>
      <c r="F15" s="498">
        <f>'F5'!F15</f>
        <v>1.9667567530000001</v>
      </c>
      <c r="G15" s="498">
        <f>'F5'!G15</f>
        <v>0</v>
      </c>
      <c r="H15" s="498">
        <f t="shared" ref="H15:H30" si="1">D15+E15-F15-G15</f>
        <v>8.2161038127992772</v>
      </c>
      <c r="I15" s="494">
        <f t="shared" ref="I15:I30" si="2">H15</f>
        <v>8.2161038127992772</v>
      </c>
      <c r="J15" s="498">
        <f>'F5'!J15</f>
        <v>2.7560401199999998</v>
      </c>
      <c r="K15" s="498">
        <f>'F5'!K15</f>
        <v>0.43562739099999997</v>
      </c>
      <c r="L15" s="498">
        <f>'F5'!L15</f>
        <v>0</v>
      </c>
      <c r="M15" s="494">
        <f t="shared" ref="M15:M30" si="3">I15+J15-K15-L15</f>
        <v>10.536516541799276</v>
      </c>
      <c r="N15" s="498">
        <f t="shared" si="0"/>
        <v>10.536516541799276</v>
      </c>
      <c r="O15" s="498">
        <f>'F5'!O15</f>
        <v>0</v>
      </c>
      <c r="P15" s="498">
        <f>'F5'!P15</f>
        <v>0</v>
      </c>
      <c r="Q15" s="498">
        <f>'F5'!Q15</f>
        <v>0</v>
      </c>
      <c r="R15" s="498">
        <f t="shared" ref="R15:R30" si="4">N15+O15-P15-Q15</f>
        <v>10.536516541799276</v>
      </c>
      <c r="S15" s="494">
        <f>'F5'!S15+'F5.1 (N)'!D17</f>
        <v>10.536516541799276</v>
      </c>
      <c r="T15" s="498">
        <f>'F5'!T15+'F5.1 (N)'!E17</f>
        <v>0</v>
      </c>
      <c r="U15" s="498">
        <f>'F5'!U15+'F5.1 (N)'!F17</f>
        <v>0</v>
      </c>
      <c r="V15" s="498">
        <f>'F5'!V15+'F5.1 (N)'!G17</f>
        <v>0</v>
      </c>
      <c r="W15" s="494">
        <f t="shared" ref="W15:W30" si="5">S15+T15-U15-V15</f>
        <v>10.536516541799276</v>
      </c>
    </row>
    <row r="16" spans="1:23" s="603" customFormat="1" x14ac:dyDescent="0.3">
      <c r="B16" s="492">
        <f t="shared" ref="B16:B30" si="6">B15+1</f>
        <v>3</v>
      </c>
      <c r="C16" s="497" t="s">
        <v>861</v>
      </c>
      <c r="D16" s="498">
        <f>'F5'!D16</f>
        <v>0</v>
      </c>
      <c r="E16" s="498">
        <f>'F5'!E16</f>
        <v>0</v>
      </c>
      <c r="F16" s="498">
        <f>'F5'!F16</f>
        <v>0</v>
      </c>
      <c r="G16" s="498">
        <f>'F5'!G16</f>
        <v>0</v>
      </c>
      <c r="H16" s="498">
        <f t="shared" si="1"/>
        <v>0</v>
      </c>
      <c r="I16" s="494">
        <f t="shared" si="2"/>
        <v>0</v>
      </c>
      <c r="J16" s="498">
        <f>'F5'!J16</f>
        <v>0</v>
      </c>
      <c r="K16" s="498">
        <f>'F5'!K16</f>
        <v>0</v>
      </c>
      <c r="L16" s="498">
        <f>'F5'!L16</f>
        <v>0</v>
      </c>
      <c r="M16" s="494">
        <f t="shared" si="3"/>
        <v>0</v>
      </c>
      <c r="N16" s="498">
        <f t="shared" si="0"/>
        <v>0</v>
      </c>
      <c r="O16" s="498">
        <f>'F5'!O16</f>
        <v>0</v>
      </c>
      <c r="P16" s="498">
        <f>'F5'!P16</f>
        <v>0</v>
      </c>
      <c r="Q16" s="498">
        <f>'F5'!Q16</f>
        <v>0</v>
      </c>
      <c r="R16" s="498">
        <f t="shared" si="4"/>
        <v>0</v>
      </c>
      <c r="S16" s="494">
        <f>'F5'!S16+'F5.1 (N)'!D18</f>
        <v>0</v>
      </c>
      <c r="T16" s="498">
        <f>'F5'!T16+'F5.1 (N)'!E18</f>
        <v>0.41666666666666663</v>
      </c>
      <c r="U16" s="498">
        <f>'F5'!U16+'F5.1 (N)'!F18</f>
        <v>0</v>
      </c>
      <c r="V16" s="498">
        <f>'F5'!V16+'F5.1 (N)'!G18</f>
        <v>0</v>
      </c>
      <c r="W16" s="494">
        <f t="shared" si="5"/>
        <v>0.41666666666666663</v>
      </c>
    </row>
    <row r="17" spans="2:23" s="603" customFormat="1" x14ac:dyDescent="0.3">
      <c r="B17" s="492">
        <f t="shared" si="6"/>
        <v>4</v>
      </c>
      <c r="C17" s="497" t="s">
        <v>862</v>
      </c>
      <c r="D17" s="498">
        <f>'F5'!D17</f>
        <v>1.0330104731154424</v>
      </c>
      <c r="E17" s="498">
        <f>'F5'!E17</f>
        <v>0</v>
      </c>
      <c r="F17" s="498">
        <f>'F5'!F17</f>
        <v>0</v>
      </c>
      <c r="G17" s="498">
        <f>'F5'!G17</f>
        <v>0</v>
      </c>
      <c r="H17" s="498">
        <f t="shared" si="1"/>
        <v>1.0330104731154424</v>
      </c>
      <c r="I17" s="494">
        <f t="shared" si="2"/>
        <v>1.0330104731154424</v>
      </c>
      <c r="J17" s="498">
        <f>'F5'!J17</f>
        <v>-3.1500000000000001E-4</v>
      </c>
      <c r="K17" s="498">
        <f>'F5'!K17</f>
        <v>0</v>
      </c>
      <c r="L17" s="498">
        <f>'F5'!L17</f>
        <v>0</v>
      </c>
      <c r="M17" s="494">
        <f t="shared" si="3"/>
        <v>1.0326954731154423</v>
      </c>
      <c r="N17" s="498">
        <f t="shared" si="0"/>
        <v>1.0326954731154423</v>
      </c>
      <c r="O17" s="498">
        <f>'F5'!O17</f>
        <v>0</v>
      </c>
      <c r="P17" s="498">
        <f>'F5'!P17</f>
        <v>0</v>
      </c>
      <c r="Q17" s="498">
        <f>'F5'!Q17</f>
        <v>0</v>
      </c>
      <c r="R17" s="498">
        <f t="shared" si="4"/>
        <v>1.0326954731154423</v>
      </c>
      <c r="S17" s="494">
        <f>'F5'!S17+'F5.1 (N)'!D19</f>
        <v>1.0326954731154423</v>
      </c>
      <c r="T17" s="498">
        <f>'F5'!T17+'F5.1 (N)'!E19</f>
        <v>0</v>
      </c>
      <c r="U17" s="498">
        <f>'F5'!U17+'F5.1 (N)'!F19</f>
        <v>0</v>
      </c>
      <c r="V17" s="498">
        <f>'F5'!V17+'F5.1 (N)'!G19</f>
        <v>0</v>
      </c>
      <c r="W17" s="494">
        <f t="shared" si="5"/>
        <v>1.0326954731154423</v>
      </c>
    </row>
    <row r="18" spans="2:23" s="603" customFormat="1" x14ac:dyDescent="0.3">
      <c r="B18" s="492">
        <f t="shared" si="6"/>
        <v>5</v>
      </c>
      <c r="C18" s="497" t="s">
        <v>863</v>
      </c>
      <c r="D18" s="498">
        <f>'F5'!D18</f>
        <v>9.2558522906034533</v>
      </c>
      <c r="E18" s="498">
        <f>'F5'!E18</f>
        <v>4.11755534</v>
      </c>
      <c r="F18" s="498">
        <f>'F5'!F18</f>
        <v>1.7941060210000002</v>
      </c>
      <c r="G18" s="498">
        <f>'F5'!G18</f>
        <v>0</v>
      </c>
      <c r="H18" s="498">
        <f t="shared" si="1"/>
        <v>11.579301609603451</v>
      </c>
      <c r="I18" s="494">
        <f t="shared" si="2"/>
        <v>11.579301609603451</v>
      </c>
      <c r="J18" s="498">
        <f>'F5'!J18</f>
        <v>0.26429979999999997</v>
      </c>
      <c r="K18" s="498">
        <f>'F5'!K18</f>
        <v>0.1190133</v>
      </c>
      <c r="L18" s="498">
        <f>'F5'!L18</f>
        <v>0</v>
      </c>
      <c r="M18" s="494">
        <f t="shared" si="3"/>
        <v>11.724588109603451</v>
      </c>
      <c r="N18" s="498">
        <f t="shared" si="0"/>
        <v>11.724588109603451</v>
      </c>
      <c r="O18" s="498">
        <f>'F5'!O18</f>
        <v>0</v>
      </c>
      <c r="P18" s="498">
        <f>'F5'!P18</f>
        <v>0</v>
      </c>
      <c r="Q18" s="498">
        <f>'F5'!Q18</f>
        <v>0</v>
      </c>
      <c r="R18" s="498">
        <f t="shared" si="4"/>
        <v>11.724588109603451</v>
      </c>
      <c r="S18" s="494">
        <f>'F5'!S18+'F5.1 (N)'!D20</f>
        <v>11.724588109603451</v>
      </c>
      <c r="T18" s="498">
        <f>'F5'!T18+'F5.1 (N)'!E20</f>
        <v>13.186666666666667</v>
      </c>
      <c r="U18" s="498">
        <f>'F5'!U18+'F5.1 (N)'!F20</f>
        <v>0</v>
      </c>
      <c r="V18" s="498">
        <f>'F5'!V18+'F5.1 (N)'!G20</f>
        <v>0</v>
      </c>
      <c r="W18" s="494">
        <f t="shared" si="5"/>
        <v>24.91125477627012</v>
      </c>
    </row>
    <row r="19" spans="2:23" s="11" customFormat="1" x14ac:dyDescent="0.3">
      <c r="B19" s="492">
        <f t="shared" si="6"/>
        <v>6</v>
      </c>
      <c r="C19" s="497" t="s">
        <v>254</v>
      </c>
      <c r="D19" s="498">
        <f>'F5'!D19</f>
        <v>8.094126771056052</v>
      </c>
      <c r="E19" s="498">
        <f>'F5'!E19</f>
        <v>4.7514384800000009</v>
      </c>
      <c r="F19" s="498">
        <f>'F5'!F19</f>
        <v>0</v>
      </c>
      <c r="G19" s="498">
        <f>'F5'!G19</f>
        <v>0</v>
      </c>
      <c r="H19" s="498">
        <f t="shared" si="1"/>
        <v>12.845565251056053</v>
      </c>
      <c r="I19" s="494">
        <f t="shared" si="2"/>
        <v>12.845565251056053</v>
      </c>
      <c r="J19" s="498">
        <f>'F5'!J19</f>
        <v>3.6514658360000003</v>
      </c>
      <c r="K19" s="498">
        <f>'F5'!K19</f>
        <v>0</v>
      </c>
      <c r="L19" s="498">
        <f>'F5'!L19</f>
        <v>0</v>
      </c>
      <c r="M19" s="494">
        <f t="shared" si="3"/>
        <v>16.497031087056055</v>
      </c>
      <c r="N19" s="498">
        <f t="shared" si="0"/>
        <v>16.497031087056055</v>
      </c>
      <c r="O19" s="498">
        <f>'F5'!O19</f>
        <v>47.903960000000005</v>
      </c>
      <c r="P19" s="498">
        <f>'F5'!P19</f>
        <v>0</v>
      </c>
      <c r="Q19" s="498">
        <f>'F5'!Q19</f>
        <v>0</v>
      </c>
      <c r="R19" s="498">
        <f t="shared" si="4"/>
        <v>64.400991087056056</v>
      </c>
      <c r="S19" s="494">
        <f>'F5'!S19+'F5.1 (N)'!D21</f>
        <v>64.400991087056056</v>
      </c>
      <c r="T19" s="498">
        <f>'F5'!T19+'F5.1 (N)'!E21</f>
        <v>29.78135</v>
      </c>
      <c r="U19" s="498">
        <f>'F5'!U19+'F5.1 (N)'!F21</f>
        <v>0</v>
      </c>
      <c r="V19" s="498">
        <f>'F5'!V19+'F5.1 (N)'!G21</f>
        <v>0</v>
      </c>
      <c r="W19" s="494">
        <f t="shared" si="5"/>
        <v>94.182341087056059</v>
      </c>
    </row>
    <row r="20" spans="2:23" s="11" customFormat="1" x14ac:dyDescent="0.3">
      <c r="B20" s="492">
        <f t="shared" si="6"/>
        <v>7</v>
      </c>
      <c r="C20" s="497" t="s">
        <v>864</v>
      </c>
      <c r="D20" s="498">
        <f>'F5'!D20</f>
        <v>0.54402113064685087</v>
      </c>
      <c r="E20" s="498">
        <f>'F5'!E20</f>
        <v>0.1138</v>
      </c>
      <c r="F20" s="498">
        <f>'F5'!F20</f>
        <v>0</v>
      </c>
      <c r="G20" s="498">
        <f>'F5'!G20</f>
        <v>0</v>
      </c>
      <c r="H20" s="498">
        <f t="shared" si="1"/>
        <v>0.65782113064685088</v>
      </c>
      <c r="I20" s="494">
        <f t="shared" si="2"/>
        <v>0.65782113064685088</v>
      </c>
      <c r="J20" s="498">
        <f>'F5'!J20</f>
        <v>0.58658415999999991</v>
      </c>
      <c r="K20" s="498">
        <f>'F5'!K20</f>
        <v>4.6325100000000001E-2</v>
      </c>
      <c r="L20" s="498">
        <f>'F5'!L20</f>
        <v>0</v>
      </c>
      <c r="M20" s="494">
        <f t="shared" si="3"/>
        <v>1.1980801906468508</v>
      </c>
      <c r="N20" s="498">
        <f t="shared" si="0"/>
        <v>1.1980801906468508</v>
      </c>
      <c r="O20" s="498">
        <f>'F5'!O20</f>
        <v>0</v>
      </c>
      <c r="P20" s="498">
        <f>'F5'!P20</f>
        <v>0</v>
      </c>
      <c r="Q20" s="498">
        <f>'F5'!Q20</f>
        <v>0</v>
      </c>
      <c r="R20" s="498">
        <f t="shared" si="4"/>
        <v>1.1980801906468508</v>
      </c>
      <c r="S20" s="494">
        <f>'F5'!S20+'F5.1 (N)'!D22</f>
        <v>1.1980801906468508</v>
      </c>
      <c r="T20" s="498">
        <f>'F5'!T20+'F5.1 (N)'!E22</f>
        <v>0.41666666666666663</v>
      </c>
      <c r="U20" s="498">
        <f>'F5'!U20+'F5.1 (N)'!F22</f>
        <v>0</v>
      </c>
      <c r="V20" s="498">
        <f>'F5'!V20+'F5.1 (N)'!G22</f>
        <v>0</v>
      </c>
      <c r="W20" s="494">
        <f t="shared" si="5"/>
        <v>1.6147468573135173</v>
      </c>
    </row>
    <row r="21" spans="2:23" s="11" customFormat="1" x14ac:dyDescent="0.3">
      <c r="B21" s="492">
        <f t="shared" si="6"/>
        <v>8</v>
      </c>
      <c r="C21" s="497" t="s">
        <v>865</v>
      </c>
      <c r="D21" s="498">
        <f>'F5'!D21</f>
        <v>0</v>
      </c>
      <c r="E21" s="498">
        <f>'F5'!E21</f>
        <v>0</v>
      </c>
      <c r="F21" s="498">
        <f>'F5'!F21</f>
        <v>0</v>
      </c>
      <c r="G21" s="498">
        <f>'F5'!G21</f>
        <v>0</v>
      </c>
      <c r="H21" s="498">
        <f t="shared" si="1"/>
        <v>0</v>
      </c>
      <c r="I21" s="494">
        <f t="shared" si="2"/>
        <v>0</v>
      </c>
      <c r="J21" s="498">
        <f>'F5'!J21</f>
        <v>0</v>
      </c>
      <c r="K21" s="498">
        <f>'F5'!K21</f>
        <v>0</v>
      </c>
      <c r="L21" s="498">
        <f>'F5'!L21</f>
        <v>0</v>
      </c>
      <c r="M21" s="494">
        <f t="shared" si="3"/>
        <v>0</v>
      </c>
      <c r="N21" s="498">
        <f t="shared" si="0"/>
        <v>0</v>
      </c>
      <c r="O21" s="498">
        <f>'F5'!O21</f>
        <v>0</v>
      </c>
      <c r="P21" s="498">
        <f>'F5'!P21</f>
        <v>0</v>
      </c>
      <c r="Q21" s="498">
        <f>'F5'!Q21</f>
        <v>0</v>
      </c>
      <c r="R21" s="498">
        <f t="shared" si="4"/>
        <v>0</v>
      </c>
      <c r="S21" s="494">
        <f>'F5'!S21+'F5.1 (N)'!D23</f>
        <v>0</v>
      </c>
      <c r="T21" s="498">
        <f>'F5'!T21+'F5.1 (N)'!E23</f>
        <v>0</v>
      </c>
      <c r="U21" s="498">
        <f>'F5'!U21+'F5.1 (N)'!F23</f>
        <v>0</v>
      </c>
      <c r="V21" s="498">
        <f>'F5'!V21+'F5.1 (N)'!G23</f>
        <v>0</v>
      </c>
      <c r="W21" s="494">
        <f t="shared" si="5"/>
        <v>0</v>
      </c>
    </row>
    <row r="22" spans="2:23" s="11" customFormat="1" x14ac:dyDescent="0.3">
      <c r="B22" s="492">
        <f t="shared" si="6"/>
        <v>9</v>
      </c>
      <c r="C22" s="497" t="s">
        <v>866</v>
      </c>
      <c r="D22" s="498">
        <f>'F5'!D22</f>
        <v>2.4760351889857151</v>
      </c>
      <c r="E22" s="498">
        <f>'F5'!E22</f>
        <v>0</v>
      </c>
      <c r="F22" s="498">
        <f>'F5'!F22</f>
        <v>0</v>
      </c>
      <c r="G22" s="498">
        <f>'F5'!G22</f>
        <v>0</v>
      </c>
      <c r="H22" s="498">
        <f t="shared" si="1"/>
        <v>2.4760351889857151</v>
      </c>
      <c r="I22" s="494">
        <f t="shared" si="2"/>
        <v>2.4760351889857151</v>
      </c>
      <c r="J22" s="498">
        <f>'F5'!J22</f>
        <v>0</v>
      </c>
      <c r="K22" s="498">
        <f>'F5'!K22</f>
        <v>0</v>
      </c>
      <c r="L22" s="498">
        <f>'F5'!L22</f>
        <v>0</v>
      </c>
      <c r="M22" s="494">
        <f t="shared" si="3"/>
        <v>2.4760351889857151</v>
      </c>
      <c r="N22" s="498">
        <f t="shared" si="0"/>
        <v>2.4760351889857151</v>
      </c>
      <c r="O22" s="498">
        <f>'F5'!O22</f>
        <v>0</v>
      </c>
      <c r="P22" s="498">
        <f>'F5'!P22</f>
        <v>0</v>
      </c>
      <c r="Q22" s="498">
        <f>'F5'!Q22</f>
        <v>0</v>
      </c>
      <c r="R22" s="498">
        <f t="shared" si="4"/>
        <v>2.4760351889857151</v>
      </c>
      <c r="S22" s="494">
        <f>'F5'!S22+'F5.1 (N)'!D24</f>
        <v>2.4760351889857151</v>
      </c>
      <c r="T22" s="498">
        <f>'F5'!T22+'F5.1 (N)'!E24</f>
        <v>0</v>
      </c>
      <c r="U22" s="498">
        <f>'F5'!U22+'F5.1 (N)'!F24</f>
        <v>0</v>
      </c>
      <c r="V22" s="498">
        <f>'F5'!V22+'F5.1 (N)'!G24</f>
        <v>0</v>
      </c>
      <c r="W22" s="494">
        <f t="shared" si="5"/>
        <v>2.4760351889857151</v>
      </c>
    </row>
    <row r="23" spans="2:23" s="11" customFormat="1" x14ac:dyDescent="0.3">
      <c r="B23" s="492">
        <f t="shared" si="6"/>
        <v>10</v>
      </c>
      <c r="C23" s="497" t="s">
        <v>258</v>
      </c>
      <c r="D23" s="498">
        <f>'F5'!D23</f>
        <v>1.4729866408074528</v>
      </c>
      <c r="E23" s="498">
        <f>'F5'!E23</f>
        <v>0</v>
      </c>
      <c r="F23" s="498">
        <f>'F5'!F23</f>
        <v>0</v>
      </c>
      <c r="G23" s="498">
        <f>'F5'!G23</f>
        <v>0</v>
      </c>
      <c r="H23" s="498">
        <f t="shared" si="1"/>
        <v>1.4729866408074528</v>
      </c>
      <c r="I23" s="494">
        <f t="shared" si="2"/>
        <v>1.4729866408074528</v>
      </c>
      <c r="J23" s="498">
        <f>'F5'!J23</f>
        <v>0</v>
      </c>
      <c r="K23" s="498">
        <f>'F5'!K23</f>
        <v>0</v>
      </c>
      <c r="L23" s="498">
        <f>'F5'!L23</f>
        <v>0</v>
      </c>
      <c r="M23" s="494">
        <f t="shared" si="3"/>
        <v>1.4729866408074528</v>
      </c>
      <c r="N23" s="498">
        <f t="shared" si="0"/>
        <v>1.4729866408074528</v>
      </c>
      <c r="O23" s="498">
        <f>'F5'!O23</f>
        <v>0</v>
      </c>
      <c r="P23" s="498">
        <f>'F5'!P23</f>
        <v>0</v>
      </c>
      <c r="Q23" s="498">
        <f>'F5'!Q23</f>
        <v>0</v>
      </c>
      <c r="R23" s="498">
        <f t="shared" si="4"/>
        <v>1.4729866408074528</v>
      </c>
      <c r="S23" s="494">
        <f>'F5'!S23+'F5.1 (N)'!D25</f>
        <v>1.4729866408074528</v>
      </c>
      <c r="T23" s="498">
        <f>'F5'!T23+'F5.1 (N)'!E25</f>
        <v>0</v>
      </c>
      <c r="U23" s="498">
        <f>'F5'!U23+'F5.1 (N)'!F25</f>
        <v>0</v>
      </c>
      <c r="V23" s="498">
        <f>'F5'!V23+'F5.1 (N)'!G25</f>
        <v>0</v>
      </c>
      <c r="W23" s="494">
        <f t="shared" si="5"/>
        <v>1.4729866408074528</v>
      </c>
    </row>
    <row r="24" spans="2:23" s="11" customFormat="1" x14ac:dyDescent="0.3">
      <c r="B24" s="492">
        <f t="shared" si="6"/>
        <v>11</v>
      </c>
      <c r="C24" s="497" t="s">
        <v>259</v>
      </c>
      <c r="D24" s="498">
        <f>'F5'!D24</f>
        <v>2.888680407392231</v>
      </c>
      <c r="E24" s="498">
        <f>'F5'!E24</f>
        <v>2.6115867999999997E-2</v>
      </c>
      <c r="F24" s="498">
        <f>'F5'!F24</f>
        <v>-1.0495599999999997E-3</v>
      </c>
      <c r="G24" s="498">
        <f>'F5'!G24</f>
        <v>0</v>
      </c>
      <c r="H24" s="498">
        <f t="shared" si="1"/>
        <v>2.915845835392231</v>
      </c>
      <c r="I24" s="494">
        <f t="shared" si="2"/>
        <v>2.915845835392231</v>
      </c>
      <c r="J24" s="498">
        <f>'F5'!J24</f>
        <v>9.3100637E-2</v>
      </c>
      <c r="K24" s="498">
        <f>'F5'!K24</f>
        <v>0</v>
      </c>
      <c r="L24" s="498">
        <f>'F5'!L24</f>
        <v>0</v>
      </c>
      <c r="M24" s="494">
        <f t="shared" si="3"/>
        <v>3.008946472392231</v>
      </c>
      <c r="N24" s="498">
        <f t="shared" si="0"/>
        <v>3.008946472392231</v>
      </c>
      <c r="O24" s="498">
        <f>'F5'!O24</f>
        <v>1.27764E-2</v>
      </c>
      <c r="P24" s="498">
        <f>'F5'!P24</f>
        <v>0</v>
      </c>
      <c r="Q24" s="498">
        <f>'F5'!Q24</f>
        <v>0</v>
      </c>
      <c r="R24" s="498">
        <f t="shared" si="4"/>
        <v>3.0217228723922309</v>
      </c>
      <c r="S24" s="494">
        <f>'F5'!S24+'F5.1 (N)'!D26</f>
        <v>3.0217228723922309</v>
      </c>
      <c r="T24" s="498">
        <f>'F5'!T24+'F5.1 (N)'!E26</f>
        <v>0</v>
      </c>
      <c r="U24" s="498">
        <f>'F5'!U24+'F5.1 (N)'!F26</f>
        <v>0</v>
      </c>
      <c r="V24" s="498">
        <f>'F5'!V24+'F5.1 (N)'!G26</f>
        <v>0</v>
      </c>
      <c r="W24" s="494">
        <f t="shared" si="5"/>
        <v>3.0217228723922309</v>
      </c>
    </row>
    <row r="25" spans="2:23" s="11" customFormat="1" x14ac:dyDescent="0.3">
      <c r="B25" s="492">
        <f t="shared" si="6"/>
        <v>12</v>
      </c>
      <c r="C25" s="497" t="s">
        <v>260</v>
      </c>
      <c r="D25" s="498">
        <f>'F5'!D25</f>
        <v>2.42623988376035</v>
      </c>
      <c r="E25" s="498">
        <f>'F5'!E25</f>
        <v>-3.521665999999998E-3</v>
      </c>
      <c r="F25" s="498">
        <f>'F5'!F25</f>
        <v>1.0495599999999997E-3</v>
      </c>
      <c r="G25" s="498">
        <f>'F5'!G25</f>
        <v>0</v>
      </c>
      <c r="H25" s="498">
        <f t="shared" si="1"/>
        <v>2.4216686577603501</v>
      </c>
      <c r="I25" s="494">
        <f t="shared" si="2"/>
        <v>2.4216686577603501</v>
      </c>
      <c r="J25" s="498">
        <f>'F5'!J25</f>
        <v>0.15009557700000001</v>
      </c>
      <c r="K25" s="498">
        <f>'F5'!K25</f>
        <v>0</v>
      </c>
      <c r="L25" s="498">
        <f>'F5'!L25</f>
        <v>0</v>
      </c>
      <c r="M25" s="494">
        <f t="shared" si="3"/>
        <v>2.5717642347603502</v>
      </c>
      <c r="N25" s="498">
        <f t="shared" si="0"/>
        <v>2.5717642347603502</v>
      </c>
      <c r="O25" s="498">
        <f>'F5'!O25</f>
        <v>1.6235900000000001E-2</v>
      </c>
      <c r="P25" s="498">
        <f>'F5'!P25</f>
        <v>0</v>
      </c>
      <c r="Q25" s="498">
        <f>'F5'!Q25</f>
        <v>0</v>
      </c>
      <c r="R25" s="498">
        <f t="shared" si="4"/>
        <v>2.5880001347603501</v>
      </c>
      <c r="S25" s="494">
        <f>'F5'!S25+'F5.1 (N)'!D27</f>
        <v>2.5880001347603501</v>
      </c>
      <c r="T25" s="498">
        <f>'F5'!T25+'F5.1 (N)'!E27</f>
        <v>0</v>
      </c>
      <c r="U25" s="498">
        <f>'F5'!U25+'F5.1 (N)'!F27</f>
        <v>0</v>
      </c>
      <c r="V25" s="498">
        <f>'F5'!V25+'F5.1 (N)'!G27</f>
        <v>0</v>
      </c>
      <c r="W25" s="494">
        <f t="shared" si="5"/>
        <v>2.5880001347603501</v>
      </c>
    </row>
    <row r="26" spans="2:23" s="11" customFormat="1" x14ac:dyDescent="0.3">
      <c r="B26" s="492">
        <f t="shared" si="6"/>
        <v>13</v>
      </c>
      <c r="C26" s="497" t="s">
        <v>874</v>
      </c>
      <c r="D26" s="498">
        <f>'F5'!D26</f>
        <v>0</v>
      </c>
      <c r="E26" s="498">
        <f>'F5'!E26</f>
        <v>0</v>
      </c>
      <c r="F26" s="498">
        <f>'F5'!F26</f>
        <v>0</v>
      </c>
      <c r="G26" s="498">
        <f>'F5'!G26</f>
        <v>0</v>
      </c>
      <c r="H26" s="498">
        <f t="shared" si="1"/>
        <v>0</v>
      </c>
      <c r="I26" s="494">
        <f t="shared" si="2"/>
        <v>0</v>
      </c>
      <c r="J26" s="498">
        <f>'F5'!J26</f>
        <v>0</v>
      </c>
      <c r="K26" s="498">
        <f>'F5'!K26</f>
        <v>0</v>
      </c>
      <c r="L26" s="498">
        <f>'F5'!L26</f>
        <v>0</v>
      </c>
      <c r="M26" s="494">
        <f t="shared" si="3"/>
        <v>0</v>
      </c>
      <c r="N26" s="498">
        <f t="shared" si="0"/>
        <v>0</v>
      </c>
      <c r="O26" s="498">
        <f>'F5'!O26</f>
        <v>0</v>
      </c>
      <c r="P26" s="498">
        <f>'F5'!P26</f>
        <v>0</v>
      </c>
      <c r="Q26" s="498">
        <f>'F5'!Q26</f>
        <v>0</v>
      </c>
      <c r="R26" s="498">
        <f t="shared" si="4"/>
        <v>0</v>
      </c>
      <c r="S26" s="494">
        <f>'F5'!S26+'F5.1 (N)'!D28</f>
        <v>0</v>
      </c>
      <c r="T26" s="498">
        <f>'F5'!T26+'F5.1 (N)'!E28</f>
        <v>0</v>
      </c>
      <c r="U26" s="498">
        <f>'F5'!U26+'F5.1 (N)'!F28</f>
        <v>0</v>
      </c>
      <c r="V26" s="498">
        <f>'F5'!V26+'F5.1 (N)'!G28</f>
        <v>0</v>
      </c>
      <c r="W26" s="494">
        <f t="shared" si="5"/>
        <v>0</v>
      </c>
    </row>
    <row r="27" spans="2:23" s="11" customFormat="1" x14ac:dyDescent="0.3">
      <c r="B27" s="492">
        <f t="shared" si="6"/>
        <v>14</v>
      </c>
      <c r="C27" s="497" t="s">
        <v>875</v>
      </c>
      <c r="D27" s="498">
        <f>'F5'!D27</f>
        <v>0</v>
      </c>
      <c r="E27" s="498">
        <f>'F5'!E27</f>
        <v>0</v>
      </c>
      <c r="F27" s="498">
        <f>'F5'!F27</f>
        <v>0</v>
      </c>
      <c r="G27" s="498">
        <f>'F5'!G27</f>
        <v>0</v>
      </c>
      <c r="H27" s="498">
        <f t="shared" si="1"/>
        <v>0</v>
      </c>
      <c r="I27" s="494">
        <f t="shared" si="2"/>
        <v>0</v>
      </c>
      <c r="J27" s="498">
        <f>'F5'!J27</f>
        <v>0</v>
      </c>
      <c r="K27" s="498">
        <f>'F5'!K27</f>
        <v>0</v>
      </c>
      <c r="L27" s="498">
        <f>'F5'!L27</f>
        <v>0</v>
      </c>
      <c r="M27" s="494">
        <f t="shared" si="3"/>
        <v>0</v>
      </c>
      <c r="N27" s="498">
        <f t="shared" si="0"/>
        <v>0</v>
      </c>
      <c r="O27" s="498">
        <f>'F5'!O27</f>
        <v>0</v>
      </c>
      <c r="P27" s="498">
        <f>'F5'!P27</f>
        <v>0</v>
      </c>
      <c r="Q27" s="498">
        <f>'F5'!Q27</f>
        <v>0</v>
      </c>
      <c r="R27" s="498">
        <f t="shared" si="4"/>
        <v>0</v>
      </c>
      <c r="S27" s="494">
        <f>'F5'!S27+'F5.1 (N)'!D29</f>
        <v>0</v>
      </c>
      <c r="T27" s="498">
        <f>'F5'!T27+'F5.1 (N)'!E29</f>
        <v>0</v>
      </c>
      <c r="U27" s="498">
        <f>'F5'!U27+'F5.1 (N)'!F29</f>
        <v>0</v>
      </c>
      <c r="V27" s="498">
        <f>'F5'!V27+'F5.1 (N)'!G29</f>
        <v>0</v>
      </c>
      <c r="W27" s="494">
        <f t="shared" si="5"/>
        <v>0</v>
      </c>
    </row>
    <row r="28" spans="2:23" s="11" customFormat="1" x14ac:dyDescent="0.3">
      <c r="B28" s="492">
        <f t="shared" si="6"/>
        <v>15</v>
      </c>
      <c r="C28" s="497" t="s">
        <v>876</v>
      </c>
      <c r="D28" s="498">
        <f>'F5'!D28</f>
        <v>0</v>
      </c>
      <c r="E28" s="498">
        <f>'F5'!E28</f>
        <v>0</v>
      </c>
      <c r="F28" s="498">
        <f>'F5'!F28</f>
        <v>0</v>
      </c>
      <c r="G28" s="498">
        <f>'F5'!G28</f>
        <v>0</v>
      </c>
      <c r="H28" s="498">
        <f t="shared" si="1"/>
        <v>0</v>
      </c>
      <c r="I28" s="494">
        <f t="shared" si="2"/>
        <v>0</v>
      </c>
      <c r="J28" s="498">
        <f>'F5'!J28</f>
        <v>0</v>
      </c>
      <c r="K28" s="498">
        <f>'F5'!K28</f>
        <v>0</v>
      </c>
      <c r="L28" s="498">
        <f>'F5'!L28</f>
        <v>0</v>
      </c>
      <c r="M28" s="494">
        <f t="shared" si="3"/>
        <v>0</v>
      </c>
      <c r="N28" s="498">
        <f t="shared" si="0"/>
        <v>0</v>
      </c>
      <c r="O28" s="498">
        <f>'F5'!O28</f>
        <v>0</v>
      </c>
      <c r="P28" s="498">
        <f>'F5'!P28</f>
        <v>0</v>
      </c>
      <c r="Q28" s="498">
        <f>'F5'!Q28</f>
        <v>0</v>
      </c>
      <c r="R28" s="498">
        <f t="shared" si="4"/>
        <v>0</v>
      </c>
      <c r="S28" s="494">
        <f>'F5'!S28+'F5.1 (N)'!D30</f>
        <v>0</v>
      </c>
      <c r="T28" s="498">
        <f>'F5'!T28+'F5.1 (N)'!E30</f>
        <v>0</v>
      </c>
      <c r="U28" s="498">
        <f>'F5'!U28+'F5.1 (N)'!F30</f>
        <v>0</v>
      </c>
      <c r="V28" s="498">
        <f>'F5'!V28+'F5.1 (N)'!G30</f>
        <v>0</v>
      </c>
      <c r="W28" s="494">
        <f t="shared" si="5"/>
        <v>0</v>
      </c>
    </row>
    <row r="29" spans="2:23" s="11" customFormat="1" x14ac:dyDescent="0.3">
      <c r="B29" s="492">
        <f t="shared" si="6"/>
        <v>16</v>
      </c>
      <c r="C29" s="497" t="s">
        <v>867</v>
      </c>
      <c r="D29" s="498">
        <f>'F5'!D29</f>
        <v>1.424019278351218</v>
      </c>
      <c r="E29" s="498">
        <f>'F5'!E29</f>
        <v>0</v>
      </c>
      <c r="F29" s="498">
        <f>'F5'!F29</f>
        <v>0</v>
      </c>
      <c r="G29" s="498">
        <f>'F5'!G29</f>
        <v>0</v>
      </c>
      <c r="H29" s="498">
        <f t="shared" si="1"/>
        <v>1.424019278351218</v>
      </c>
      <c r="I29" s="494">
        <f t="shared" si="2"/>
        <v>1.424019278351218</v>
      </c>
      <c r="J29" s="498">
        <f>'F5'!J29</f>
        <v>0</v>
      </c>
      <c r="K29" s="498">
        <f>'F5'!K29</f>
        <v>0</v>
      </c>
      <c r="L29" s="498">
        <f>'F5'!L29</f>
        <v>0</v>
      </c>
      <c r="M29" s="494">
        <f t="shared" si="3"/>
        <v>1.424019278351218</v>
      </c>
      <c r="N29" s="498">
        <f t="shared" si="0"/>
        <v>1.424019278351218</v>
      </c>
      <c r="O29" s="498">
        <f>'F5'!O29</f>
        <v>0</v>
      </c>
      <c r="P29" s="498">
        <f>'F5'!P29</f>
        <v>0</v>
      </c>
      <c r="Q29" s="498">
        <f>'F5'!Q29</f>
        <v>0</v>
      </c>
      <c r="R29" s="498">
        <f t="shared" si="4"/>
        <v>1.424019278351218</v>
      </c>
      <c r="S29" s="494">
        <f>'F5'!S29+'F5.1 (N)'!D31</f>
        <v>1.424019278351218</v>
      </c>
      <c r="T29" s="498">
        <f>'F5'!T29+'F5.1 (N)'!E31</f>
        <v>0</v>
      </c>
      <c r="U29" s="498">
        <f>'F5'!U29+'F5.1 (N)'!F31</f>
        <v>0</v>
      </c>
      <c r="V29" s="498">
        <f>'F5'!V29+'F5.1 (N)'!G31</f>
        <v>0</v>
      </c>
      <c r="W29" s="494">
        <f t="shared" si="5"/>
        <v>1.424019278351218</v>
      </c>
    </row>
    <row r="30" spans="2:23" s="11" customFormat="1" x14ac:dyDescent="0.3">
      <c r="B30" s="492">
        <f t="shared" si="6"/>
        <v>17</v>
      </c>
      <c r="C30" s="497" t="s">
        <v>877</v>
      </c>
      <c r="D30" s="498">
        <f>'F5'!D30</f>
        <v>0</v>
      </c>
      <c r="E30" s="498">
        <f>'F5'!E30</f>
        <v>4.0077621739999998</v>
      </c>
      <c r="F30" s="498">
        <f>'F5'!F30</f>
        <v>0</v>
      </c>
      <c r="G30" s="498">
        <f>'F5'!G30</f>
        <v>0</v>
      </c>
      <c r="H30" s="498">
        <f t="shared" si="1"/>
        <v>4.0077621739999998</v>
      </c>
      <c r="I30" s="494">
        <f t="shared" si="2"/>
        <v>4.0077621739999998</v>
      </c>
      <c r="J30" s="498">
        <f>'F5'!J30</f>
        <v>0</v>
      </c>
      <c r="K30" s="498">
        <f>'F5'!K30</f>
        <v>0</v>
      </c>
      <c r="L30" s="498">
        <f>'F5'!L30</f>
        <v>0</v>
      </c>
      <c r="M30" s="494">
        <f t="shared" si="3"/>
        <v>4.0077621739999998</v>
      </c>
      <c r="N30" s="498">
        <f t="shared" si="0"/>
        <v>4.0077621739999998</v>
      </c>
      <c r="O30" s="498">
        <f>'F5'!O30</f>
        <v>0</v>
      </c>
      <c r="P30" s="498">
        <f>'F5'!P30</f>
        <v>0</v>
      </c>
      <c r="Q30" s="498">
        <f>'F5'!Q30</f>
        <v>0</v>
      </c>
      <c r="R30" s="498">
        <f t="shared" si="4"/>
        <v>4.0077621739999998</v>
      </c>
      <c r="S30" s="494">
        <f>'F5'!S30+'F5.1 (N)'!D32</f>
        <v>4.0077621739999998</v>
      </c>
      <c r="T30" s="498">
        <f>'F5'!T30+'F5.1 (N)'!E32</f>
        <v>0.11666666666666665</v>
      </c>
      <c r="U30" s="498">
        <f>'F5'!U30+'F5.1 (N)'!F32</f>
        <v>0</v>
      </c>
      <c r="V30" s="498">
        <f>'F5'!V30+'F5.1 (N)'!G32</f>
        <v>0</v>
      </c>
      <c r="W30" s="494">
        <f t="shared" si="5"/>
        <v>4.124428840666666</v>
      </c>
    </row>
    <row r="31" spans="2:23" s="1" customFormat="1" ht="16" x14ac:dyDescent="0.3">
      <c r="B31" s="84"/>
      <c r="C31" s="99" t="s">
        <v>271</v>
      </c>
      <c r="D31" s="485">
        <f>SUM(D14:D30)</f>
        <v>39.68464105969786</v>
      </c>
      <c r="E31" s="485">
        <f>SUM(E14:E30)</f>
        <v>13.163182396000002</v>
      </c>
      <c r="F31" s="485">
        <f t="shared" ref="F31:W31" si="7">SUM(F14:F30)</f>
        <v>3.7608627740000005</v>
      </c>
      <c r="G31" s="485">
        <f t="shared" si="7"/>
        <v>0</v>
      </c>
      <c r="H31" s="485">
        <f t="shared" si="7"/>
        <v>49.086960681697853</v>
      </c>
      <c r="I31" s="485">
        <f t="shared" si="7"/>
        <v>49.086960681697853</v>
      </c>
      <c r="J31" s="485">
        <f t="shared" si="7"/>
        <v>7.5012711300000001</v>
      </c>
      <c r="K31" s="485">
        <f t="shared" si="7"/>
        <v>0.60096579100000003</v>
      </c>
      <c r="L31" s="485">
        <f t="shared" si="7"/>
        <v>0</v>
      </c>
      <c r="M31" s="485">
        <f t="shared" si="7"/>
        <v>55.987266020697852</v>
      </c>
      <c r="N31" s="485">
        <f t="shared" si="7"/>
        <v>55.987266020697852</v>
      </c>
      <c r="O31" s="485">
        <f t="shared" si="7"/>
        <v>47.932972300000003</v>
      </c>
      <c r="P31" s="485">
        <f t="shared" si="7"/>
        <v>0</v>
      </c>
      <c r="Q31" s="485">
        <f t="shared" si="7"/>
        <v>0</v>
      </c>
      <c r="R31" s="485">
        <f t="shared" si="7"/>
        <v>103.92023832069785</v>
      </c>
      <c r="S31" s="485">
        <f t="shared" si="7"/>
        <v>103.92023832069785</v>
      </c>
      <c r="T31" s="485">
        <f t="shared" si="7"/>
        <v>43.918016666666666</v>
      </c>
      <c r="U31" s="485">
        <f t="shared" si="7"/>
        <v>0</v>
      </c>
      <c r="V31" s="485">
        <f t="shared" si="7"/>
        <v>0</v>
      </c>
      <c r="W31" s="485">
        <f t="shared" si="7"/>
        <v>147.83825498736454</v>
      </c>
    </row>
    <row r="32" spans="2:23" s="1" customFormat="1" x14ac:dyDescent="0.3">
      <c r="B32" s="868"/>
      <c r="C32" s="8"/>
      <c r="D32" s="8"/>
      <c r="E32" s="8"/>
      <c r="F32" s="8"/>
      <c r="G32" s="8"/>
      <c r="H32" s="8"/>
      <c r="J32" s="42"/>
      <c r="M32" s="42"/>
      <c r="N32" s="42"/>
    </row>
    <row r="33" spans="1:33" x14ac:dyDescent="0.3">
      <c r="B33" s="1659" t="s">
        <v>612</v>
      </c>
      <c r="C33" s="1659"/>
      <c r="D33" s="1659"/>
      <c r="E33" s="1659"/>
      <c r="F33" s="1659"/>
      <c r="G33" s="1659"/>
      <c r="H33" s="8"/>
      <c r="I33" s="1"/>
      <c r="J33" s="42"/>
      <c r="K33" s="1"/>
      <c r="L33" s="1"/>
      <c r="M33" s="42"/>
      <c r="N33" s="42"/>
      <c r="O33" s="1"/>
      <c r="P33" s="1"/>
      <c r="Q33" s="1"/>
      <c r="R33" s="1"/>
    </row>
    <row r="34" spans="1:33" x14ac:dyDescent="0.3">
      <c r="B34" s="868"/>
      <c r="C34" s="8"/>
      <c r="D34" s="8"/>
      <c r="E34" s="8"/>
      <c r="F34" s="8"/>
      <c r="G34" s="8"/>
      <c r="H34" s="8"/>
      <c r="I34" s="1"/>
      <c r="J34" s="42"/>
      <c r="K34" s="1"/>
      <c r="L34" s="1"/>
      <c r="M34" s="42"/>
      <c r="N34" s="42"/>
      <c r="O34" s="1"/>
      <c r="P34" s="1"/>
      <c r="Q34" s="1"/>
      <c r="R34" s="1"/>
    </row>
    <row r="35" spans="1:33" ht="15.75" customHeight="1" x14ac:dyDescent="0.3">
      <c r="B35" s="868"/>
      <c r="C35" s="8"/>
      <c r="D35" s="8"/>
      <c r="E35" s="8"/>
      <c r="F35" s="8"/>
      <c r="G35" s="8"/>
      <c r="H35" s="8"/>
      <c r="I35" s="1"/>
      <c r="J35" s="42"/>
      <c r="K35" s="1"/>
      <c r="L35" s="1"/>
      <c r="M35" s="42"/>
      <c r="N35" s="42"/>
      <c r="O35" s="1"/>
      <c r="P35" s="1"/>
      <c r="Q35" s="1"/>
      <c r="AG35" s="297" t="s">
        <v>10</v>
      </c>
    </row>
    <row r="36" spans="1:33" ht="15.75" customHeight="1" x14ac:dyDescent="0.3">
      <c r="B36" s="1521" t="s">
        <v>343</v>
      </c>
      <c r="C36" s="1521" t="s">
        <v>37</v>
      </c>
      <c r="D36" s="1656" t="s">
        <v>941</v>
      </c>
      <c r="E36" s="1657"/>
      <c r="F36" s="1657"/>
      <c r="G36" s="1657"/>
      <c r="H36" s="1658"/>
      <c r="I36" s="1656" t="s">
        <v>945</v>
      </c>
      <c r="J36" s="1657"/>
      <c r="K36" s="1657"/>
      <c r="L36" s="1657"/>
      <c r="M36" s="1658"/>
      <c r="N36" s="1648" t="s">
        <v>942</v>
      </c>
      <c r="O36" s="1648"/>
      <c r="P36" s="1648"/>
      <c r="Q36" s="1648"/>
      <c r="R36" s="1648"/>
      <c r="S36" s="1648" t="s">
        <v>944</v>
      </c>
      <c r="T36" s="1648"/>
      <c r="U36" s="1648"/>
      <c r="V36" s="1648"/>
      <c r="W36" s="1648"/>
    </row>
    <row r="37" spans="1:33" s="34" customFormat="1" x14ac:dyDescent="0.3">
      <c r="B37" s="1521"/>
      <c r="C37" s="1521"/>
      <c r="D37" s="1649" t="s">
        <v>21</v>
      </c>
      <c r="E37" s="1650"/>
      <c r="F37" s="1650"/>
      <c r="G37" s="1650"/>
      <c r="H37" s="1651"/>
      <c r="I37" s="1649" t="s">
        <v>21</v>
      </c>
      <c r="J37" s="1650"/>
      <c r="K37" s="1650"/>
      <c r="L37" s="1650"/>
      <c r="M37" s="1651"/>
      <c r="N37" s="1652" t="s">
        <v>21</v>
      </c>
      <c r="O37" s="1653"/>
      <c r="P37" s="1653"/>
      <c r="Q37" s="1653"/>
      <c r="R37" s="1653"/>
      <c r="S37" s="1652" t="s">
        <v>21</v>
      </c>
      <c r="T37" s="1653"/>
      <c r="U37" s="1653"/>
      <c r="V37" s="1653"/>
      <c r="W37" s="1653"/>
    </row>
    <row r="38" spans="1:33" s="35" customFormat="1" ht="42" x14ac:dyDescent="0.25">
      <c r="B38" s="1521"/>
      <c r="C38" s="1521"/>
      <c r="D38" s="869" t="s">
        <v>267</v>
      </c>
      <c r="E38" s="869" t="s">
        <v>268</v>
      </c>
      <c r="F38" s="869" t="s">
        <v>269</v>
      </c>
      <c r="G38" s="867" t="s">
        <v>601</v>
      </c>
      <c r="H38" s="869" t="s">
        <v>270</v>
      </c>
      <c r="I38" s="869" t="s">
        <v>267</v>
      </c>
      <c r="J38" s="869" t="s">
        <v>268</v>
      </c>
      <c r="K38" s="869" t="s">
        <v>269</v>
      </c>
      <c r="L38" s="867" t="s">
        <v>601</v>
      </c>
      <c r="M38" s="869" t="s">
        <v>270</v>
      </c>
      <c r="N38" s="869" t="s">
        <v>267</v>
      </c>
      <c r="O38" s="869" t="s">
        <v>268</v>
      </c>
      <c r="P38" s="869" t="s">
        <v>269</v>
      </c>
      <c r="Q38" s="867" t="s">
        <v>601</v>
      </c>
      <c r="R38" s="869" t="s">
        <v>270</v>
      </c>
      <c r="S38" s="869" t="s">
        <v>267</v>
      </c>
      <c r="T38" s="869" t="s">
        <v>268</v>
      </c>
      <c r="U38" s="869" t="s">
        <v>269</v>
      </c>
      <c r="V38" s="867" t="s">
        <v>601</v>
      </c>
      <c r="W38" s="869" t="s">
        <v>270</v>
      </c>
    </row>
    <row r="39" spans="1:33" s="6" customFormat="1" ht="28" x14ac:dyDescent="0.3">
      <c r="B39" s="298"/>
      <c r="C39" s="298"/>
      <c r="D39" s="298" t="s">
        <v>609</v>
      </c>
      <c r="E39" s="298" t="s">
        <v>610</v>
      </c>
      <c r="F39" s="298" t="s">
        <v>611</v>
      </c>
      <c r="G39" s="298" t="s">
        <v>673</v>
      </c>
      <c r="H39" s="298" t="s">
        <v>674</v>
      </c>
      <c r="I39" s="298" t="s">
        <v>675</v>
      </c>
      <c r="J39" s="298" t="s">
        <v>676</v>
      </c>
      <c r="K39" s="298" t="s">
        <v>677</v>
      </c>
      <c r="L39" s="298" t="s">
        <v>678</v>
      </c>
      <c r="M39" s="298" t="s">
        <v>679</v>
      </c>
      <c r="N39" s="298" t="s">
        <v>680</v>
      </c>
      <c r="O39" s="298" t="s">
        <v>681</v>
      </c>
      <c r="P39" s="298" t="s">
        <v>682</v>
      </c>
      <c r="Q39" s="298" t="s">
        <v>683</v>
      </c>
      <c r="R39" s="298" t="s">
        <v>684</v>
      </c>
      <c r="S39" s="298" t="s">
        <v>1406</v>
      </c>
      <c r="T39" s="298" t="s">
        <v>955</v>
      </c>
      <c r="U39" s="298" t="s">
        <v>956</v>
      </c>
      <c r="V39" s="298" t="s">
        <v>957</v>
      </c>
      <c r="W39" s="298" t="s">
        <v>1407</v>
      </c>
    </row>
    <row r="40" spans="1:33" s="603" customFormat="1" x14ac:dyDescent="0.3">
      <c r="B40" s="492">
        <v>1</v>
      </c>
      <c r="C40" s="497" t="s">
        <v>860</v>
      </c>
      <c r="D40" s="494">
        <f>W14</f>
        <v>3.6840629179811686E-2</v>
      </c>
      <c r="E40" s="498">
        <f>'F5'!E40+'F5.1 (N)'!J16</f>
        <v>0</v>
      </c>
      <c r="F40" s="498">
        <f>'F5'!F40+'F5.1 (N)'!K16</f>
        <v>0</v>
      </c>
      <c r="G40" s="498">
        <f>'F5'!G40+'F5.1 (N)'!L16</f>
        <v>0</v>
      </c>
      <c r="H40" s="494">
        <f>D40+E40-F40-G40</f>
        <v>3.6840629179811686E-2</v>
      </c>
      <c r="I40" s="494">
        <f>H40</f>
        <v>3.6840629179811686E-2</v>
      </c>
      <c r="J40" s="498">
        <f>'F5'!J40+'F5.1 (N)'!O16</f>
        <v>0</v>
      </c>
      <c r="K40" s="498">
        <f>'F5'!K40+'F5.1 (N)'!P16</f>
        <v>0</v>
      </c>
      <c r="L40" s="498">
        <f>'F5'!L40+'F5.1 (N)'!Q16</f>
        <v>0</v>
      </c>
      <c r="M40" s="494">
        <f>I40+J40-K40-L40</f>
        <v>3.6840629179811686E-2</v>
      </c>
      <c r="N40" s="494">
        <f>M40</f>
        <v>3.6840629179811686E-2</v>
      </c>
      <c r="O40" s="498">
        <f>'F5'!O40+'F5.1 (N)'!T16</f>
        <v>0</v>
      </c>
      <c r="P40" s="498">
        <f>'F5'!P40+'F5.1 (N)'!U16</f>
        <v>0</v>
      </c>
      <c r="Q40" s="498">
        <f>'F5'!Q40+'F5.1 (N)'!V16</f>
        <v>0</v>
      </c>
      <c r="R40" s="494">
        <f>N40+O40-P40-Q40</f>
        <v>3.6840629179811686E-2</v>
      </c>
      <c r="S40" s="494">
        <f>R40</f>
        <v>3.6840629179811686E-2</v>
      </c>
      <c r="T40" s="498">
        <f>'F5'!T40+'F5.1 (N)'!Y16</f>
        <v>0</v>
      </c>
      <c r="U40" s="498">
        <f>'F5'!U40+'F5.1 (N)'!Z16</f>
        <v>0</v>
      </c>
      <c r="V40" s="498">
        <f>'F5'!V40+'F5.1 (N)'!AA16</f>
        <v>0</v>
      </c>
      <c r="W40" s="494">
        <f>S40+T40-U40-V40</f>
        <v>3.6840629179811686E-2</v>
      </c>
    </row>
    <row r="41" spans="1:33" s="603" customFormat="1" x14ac:dyDescent="0.3">
      <c r="B41" s="492">
        <f>B40+1</f>
        <v>2</v>
      </c>
      <c r="C41" s="497" t="s">
        <v>255</v>
      </c>
      <c r="D41" s="494">
        <f t="shared" ref="D41:D56" si="8">W15</f>
        <v>10.536516541799276</v>
      </c>
      <c r="E41" s="498">
        <f>'F5'!E41+'F5.1 (N)'!J17</f>
        <v>0</v>
      </c>
      <c r="F41" s="498">
        <f>'F5'!F41+'F5.1 (N)'!K17</f>
        <v>0</v>
      </c>
      <c r="G41" s="498">
        <f>'F5'!G41+'F5.1 (N)'!L17</f>
        <v>0</v>
      </c>
      <c r="H41" s="494">
        <f t="shared" ref="H41:H56" si="9">D41+E41-F41-G41</f>
        <v>10.536516541799276</v>
      </c>
      <c r="I41" s="494">
        <f t="shared" ref="I41:I56" si="10">H41</f>
        <v>10.536516541799276</v>
      </c>
      <c r="J41" s="498">
        <f>'F5'!J41+'F5.1 (N)'!O17</f>
        <v>0</v>
      </c>
      <c r="K41" s="498">
        <f>'F5'!K41+'F5.1 (N)'!P17</f>
        <v>0</v>
      </c>
      <c r="L41" s="498">
        <f>'F5'!L41+'F5.1 (N)'!Q17</f>
        <v>0</v>
      </c>
      <c r="M41" s="494">
        <f t="shared" ref="M41:M56" si="11">I41+J41-K41-L41</f>
        <v>10.536516541799276</v>
      </c>
      <c r="N41" s="494">
        <f t="shared" ref="N41:N56" si="12">M41</f>
        <v>10.536516541799276</v>
      </c>
      <c r="O41" s="498">
        <f>'F5'!O41+'F5.1 (N)'!T17</f>
        <v>0</v>
      </c>
      <c r="P41" s="498">
        <f>'F5'!P41+'F5.1 (N)'!U17</f>
        <v>0</v>
      </c>
      <c r="Q41" s="498">
        <f>'F5'!Q41+'F5.1 (N)'!V17</f>
        <v>0</v>
      </c>
      <c r="R41" s="494">
        <f t="shared" ref="R41:R56" si="13">N41+O41-P41-Q41</f>
        <v>10.536516541799276</v>
      </c>
      <c r="S41" s="494">
        <f t="shared" ref="S41:S56" si="14">R41</f>
        <v>10.536516541799276</v>
      </c>
      <c r="T41" s="498">
        <f>'F5'!T41+'F5.1 (N)'!Y17</f>
        <v>0</v>
      </c>
      <c r="U41" s="498">
        <f>'F5'!U41+'F5.1 (N)'!Z17</f>
        <v>0</v>
      </c>
      <c r="V41" s="498">
        <f>'F5'!V41+'F5.1 (N)'!AA17</f>
        <v>0</v>
      </c>
      <c r="W41" s="494">
        <f t="shared" ref="W41:W56" si="15">S41+T41-U41-V41</f>
        <v>10.536516541799276</v>
      </c>
    </row>
    <row r="42" spans="1:33" s="11" customFormat="1" x14ac:dyDescent="0.3">
      <c r="A42" s="603"/>
      <c r="B42" s="492">
        <f t="shared" ref="B42:B56" si="16">B41+1</f>
        <v>3</v>
      </c>
      <c r="C42" s="497" t="s">
        <v>861</v>
      </c>
      <c r="D42" s="494">
        <f t="shared" si="8"/>
        <v>0.41666666666666663</v>
      </c>
      <c r="E42" s="498">
        <f>'F5'!E42+'F5.1 (N)'!J18</f>
        <v>0.625</v>
      </c>
      <c r="F42" s="498">
        <f>'F5'!F42+'F5.1 (N)'!K18</f>
        <v>0</v>
      </c>
      <c r="G42" s="498">
        <f>'F5'!G42+'F5.1 (N)'!L18</f>
        <v>0</v>
      </c>
      <c r="H42" s="494">
        <f t="shared" si="9"/>
        <v>1.0416666666666665</v>
      </c>
      <c r="I42" s="494">
        <f t="shared" si="10"/>
        <v>1.0416666666666665</v>
      </c>
      <c r="J42" s="498">
        <f>'F5'!J42+'F5.1 (N)'!O18</f>
        <v>0</v>
      </c>
      <c r="K42" s="498">
        <f>'F5'!K42+'F5.1 (N)'!P18</f>
        <v>0</v>
      </c>
      <c r="L42" s="498">
        <f>'F5'!L42+'F5.1 (N)'!Q18</f>
        <v>0</v>
      </c>
      <c r="M42" s="494">
        <f t="shared" si="11"/>
        <v>1.0416666666666665</v>
      </c>
      <c r="N42" s="494">
        <f t="shared" si="12"/>
        <v>1.0416666666666665</v>
      </c>
      <c r="O42" s="498">
        <f>'F5'!O42+'F5.1 (N)'!T18</f>
        <v>0</v>
      </c>
      <c r="P42" s="498">
        <f>'F5'!P42+'F5.1 (N)'!U18</f>
        <v>0</v>
      </c>
      <c r="Q42" s="498">
        <f>'F5'!Q42+'F5.1 (N)'!V18</f>
        <v>0</v>
      </c>
      <c r="R42" s="494">
        <f t="shared" si="13"/>
        <v>1.0416666666666665</v>
      </c>
      <c r="S42" s="494">
        <f t="shared" si="14"/>
        <v>1.0416666666666665</v>
      </c>
      <c r="T42" s="498">
        <f>'F5'!T42+'F5.1 (N)'!Y18</f>
        <v>0</v>
      </c>
      <c r="U42" s="498">
        <f>'F5'!U42+'F5.1 (N)'!Z18</f>
        <v>0</v>
      </c>
      <c r="V42" s="498">
        <f>'F5'!V42+'F5.1 (N)'!AA18</f>
        <v>0</v>
      </c>
      <c r="W42" s="494">
        <f t="shared" si="15"/>
        <v>1.0416666666666665</v>
      </c>
    </row>
    <row r="43" spans="1:33" s="11" customFormat="1" x14ac:dyDescent="0.3">
      <c r="A43" s="603"/>
      <c r="B43" s="492">
        <f t="shared" si="16"/>
        <v>4</v>
      </c>
      <c r="C43" s="497" t="s">
        <v>862</v>
      </c>
      <c r="D43" s="494">
        <f t="shared" si="8"/>
        <v>1.0326954731154423</v>
      </c>
      <c r="E43" s="498">
        <f>'F5'!E43+'F5.1 (N)'!J19</f>
        <v>0</v>
      </c>
      <c r="F43" s="498">
        <f>'F5'!F43+'F5.1 (N)'!K19</f>
        <v>0</v>
      </c>
      <c r="G43" s="498">
        <f>'F5'!G43+'F5.1 (N)'!L19</f>
        <v>0</v>
      </c>
      <c r="H43" s="494">
        <f t="shared" si="9"/>
        <v>1.0326954731154423</v>
      </c>
      <c r="I43" s="494">
        <f t="shared" si="10"/>
        <v>1.0326954731154423</v>
      </c>
      <c r="J43" s="498">
        <f>'F5'!J43+'F5.1 (N)'!O19</f>
        <v>0</v>
      </c>
      <c r="K43" s="498">
        <f>'F5'!K43+'F5.1 (N)'!P19</f>
        <v>0</v>
      </c>
      <c r="L43" s="498">
        <f>'F5'!L43+'F5.1 (N)'!Q19</f>
        <v>0</v>
      </c>
      <c r="M43" s="494">
        <f t="shared" si="11"/>
        <v>1.0326954731154423</v>
      </c>
      <c r="N43" s="494">
        <f t="shared" si="12"/>
        <v>1.0326954731154423</v>
      </c>
      <c r="O43" s="498">
        <f>'F5'!O43+'F5.1 (N)'!T19</f>
        <v>0</v>
      </c>
      <c r="P43" s="498">
        <f>'F5'!P43+'F5.1 (N)'!U19</f>
        <v>0</v>
      </c>
      <c r="Q43" s="498">
        <f>'F5'!Q43+'F5.1 (N)'!V19</f>
        <v>0</v>
      </c>
      <c r="R43" s="494">
        <f t="shared" si="13"/>
        <v>1.0326954731154423</v>
      </c>
      <c r="S43" s="494">
        <f t="shared" si="14"/>
        <v>1.0326954731154423</v>
      </c>
      <c r="T43" s="498">
        <f>'F5'!T43+'F5.1 (N)'!Y19</f>
        <v>0</v>
      </c>
      <c r="U43" s="498">
        <f>'F5'!U43+'F5.1 (N)'!Z19</f>
        <v>0</v>
      </c>
      <c r="V43" s="498">
        <f>'F5'!V43+'F5.1 (N)'!AA19</f>
        <v>0</v>
      </c>
      <c r="W43" s="494">
        <f t="shared" si="15"/>
        <v>1.0326954731154423</v>
      </c>
    </row>
    <row r="44" spans="1:33" s="11" customFormat="1" x14ac:dyDescent="0.3">
      <c r="A44" s="603"/>
      <c r="B44" s="492">
        <f t="shared" si="16"/>
        <v>5</v>
      </c>
      <c r="C44" s="497" t="s">
        <v>863</v>
      </c>
      <c r="D44" s="494">
        <f t="shared" si="8"/>
        <v>24.91125477627012</v>
      </c>
      <c r="E44" s="498">
        <f>'F5'!E44+'F5.1 (N)'!J20</f>
        <v>3.5625</v>
      </c>
      <c r="F44" s="498">
        <f>'F5'!F44+'F5.1 (N)'!K20</f>
        <v>0</v>
      </c>
      <c r="G44" s="498">
        <f>'F5'!G44+'F5.1 (N)'!L20</f>
        <v>0</v>
      </c>
      <c r="H44" s="494">
        <f t="shared" si="9"/>
        <v>28.47375477627012</v>
      </c>
      <c r="I44" s="494">
        <f t="shared" si="10"/>
        <v>28.47375477627012</v>
      </c>
      <c r="J44" s="498">
        <f>'F5'!J44+'F5.1 (N)'!O20</f>
        <v>0</v>
      </c>
      <c r="K44" s="498">
        <f>'F5'!K44+'F5.1 (N)'!P20</f>
        <v>0</v>
      </c>
      <c r="L44" s="498">
        <f>'F5'!L44+'F5.1 (N)'!Q20</f>
        <v>0</v>
      </c>
      <c r="M44" s="494">
        <f t="shared" si="11"/>
        <v>28.47375477627012</v>
      </c>
      <c r="N44" s="494">
        <f t="shared" si="12"/>
        <v>28.47375477627012</v>
      </c>
      <c r="O44" s="498">
        <f>'F5'!O44+'F5.1 (N)'!T20</f>
        <v>2.333333333333333</v>
      </c>
      <c r="P44" s="498">
        <f>'F5'!P44+'F5.1 (N)'!U20</f>
        <v>0</v>
      </c>
      <c r="Q44" s="498">
        <f>'F5'!Q44+'F5.1 (N)'!V20</f>
        <v>0</v>
      </c>
      <c r="R44" s="494">
        <f t="shared" si="13"/>
        <v>30.807088109603452</v>
      </c>
      <c r="S44" s="494">
        <f t="shared" si="14"/>
        <v>30.807088109603452</v>
      </c>
      <c r="T44" s="498">
        <f>'F5'!T44+'F5.1 (N)'!Y20</f>
        <v>0</v>
      </c>
      <c r="U44" s="498">
        <f>'F5'!U44+'F5.1 (N)'!Z20</f>
        <v>0</v>
      </c>
      <c r="V44" s="498">
        <f>'F5'!V44+'F5.1 (N)'!AA20</f>
        <v>0</v>
      </c>
      <c r="W44" s="494">
        <f t="shared" si="15"/>
        <v>30.807088109603452</v>
      </c>
    </row>
    <row r="45" spans="1:33" s="11" customFormat="1" x14ac:dyDescent="0.3">
      <c r="A45" s="603"/>
      <c r="B45" s="492">
        <f t="shared" si="16"/>
        <v>6</v>
      </c>
      <c r="C45" s="497" t="s">
        <v>254</v>
      </c>
      <c r="D45" s="494">
        <f t="shared" si="8"/>
        <v>94.182341087056059</v>
      </c>
      <c r="E45" s="498">
        <f>'F5'!E45+'F5.1 (N)'!J21</f>
        <v>16.734999999999999</v>
      </c>
      <c r="F45" s="498">
        <f>'F5'!F45+'F5.1 (N)'!K21</f>
        <v>0</v>
      </c>
      <c r="G45" s="498">
        <f>'F5'!G45+'F5.1 (N)'!L21</f>
        <v>0</v>
      </c>
      <c r="H45" s="494">
        <f t="shared" si="9"/>
        <v>110.91734108705606</v>
      </c>
      <c r="I45" s="494">
        <f t="shared" si="10"/>
        <v>110.91734108705606</v>
      </c>
      <c r="J45" s="498">
        <f>'F5'!J45+'F5.1 (N)'!O21</f>
        <v>46.47</v>
      </c>
      <c r="K45" s="498">
        <f>'F5'!K45+'F5.1 (N)'!P21</f>
        <v>0</v>
      </c>
      <c r="L45" s="498">
        <f>'F5'!L45+'F5.1 (N)'!Q21</f>
        <v>0</v>
      </c>
      <c r="M45" s="494">
        <f t="shared" si="11"/>
        <v>157.38734108705606</v>
      </c>
      <c r="N45" s="494">
        <f t="shared" si="12"/>
        <v>157.38734108705606</v>
      </c>
      <c r="O45" s="498">
        <f>'F5'!O45+'F5.1 (N)'!T21</f>
        <v>25.4</v>
      </c>
      <c r="P45" s="498">
        <f>'F5'!P45+'F5.1 (N)'!U21</f>
        <v>0</v>
      </c>
      <c r="Q45" s="498">
        <f>'F5'!Q45+'F5.1 (N)'!V21</f>
        <v>0</v>
      </c>
      <c r="R45" s="494">
        <f t="shared" si="13"/>
        <v>182.78734108705606</v>
      </c>
      <c r="S45" s="494">
        <f t="shared" si="14"/>
        <v>182.78734108705606</v>
      </c>
      <c r="T45" s="498">
        <f>'F5'!T45+'F5.1 (N)'!Y21</f>
        <v>35</v>
      </c>
      <c r="U45" s="498">
        <f>'F5'!U45+'F5.1 (N)'!Z21</f>
        <v>0</v>
      </c>
      <c r="V45" s="498">
        <f>'F5'!V45+'F5.1 (N)'!AA21</f>
        <v>0</v>
      </c>
      <c r="W45" s="494">
        <f t="shared" si="15"/>
        <v>217.78734108705606</v>
      </c>
    </row>
    <row r="46" spans="1:33" s="11" customFormat="1" x14ac:dyDescent="0.3">
      <c r="A46" s="603"/>
      <c r="B46" s="492">
        <f t="shared" si="16"/>
        <v>7</v>
      </c>
      <c r="C46" s="497" t="s">
        <v>864</v>
      </c>
      <c r="D46" s="494">
        <f t="shared" si="8"/>
        <v>1.6147468573135173</v>
      </c>
      <c r="E46" s="498">
        <f>'F5'!E46+'F5.1 (N)'!J22</f>
        <v>0</v>
      </c>
      <c r="F46" s="498">
        <f>'F5'!F46+'F5.1 (N)'!K22</f>
        <v>0</v>
      </c>
      <c r="G46" s="498">
        <f>'F5'!G46+'F5.1 (N)'!L22</f>
        <v>0</v>
      </c>
      <c r="H46" s="494">
        <f t="shared" si="9"/>
        <v>1.6147468573135173</v>
      </c>
      <c r="I46" s="494">
        <f t="shared" si="10"/>
        <v>1.6147468573135173</v>
      </c>
      <c r="J46" s="498">
        <f>'F5'!J46+'F5.1 (N)'!O22</f>
        <v>0.25</v>
      </c>
      <c r="K46" s="498">
        <f>'F5'!K46+'F5.1 (N)'!P22</f>
        <v>0</v>
      </c>
      <c r="L46" s="498">
        <f>'F5'!L46+'F5.1 (N)'!Q22</f>
        <v>0</v>
      </c>
      <c r="M46" s="494">
        <f t="shared" si="11"/>
        <v>1.8647468573135173</v>
      </c>
      <c r="N46" s="494">
        <f t="shared" si="12"/>
        <v>1.8647468573135173</v>
      </c>
      <c r="O46" s="498">
        <f>'F5'!O46+'F5.1 (N)'!T22</f>
        <v>0</v>
      </c>
      <c r="P46" s="498">
        <f>'F5'!P46+'F5.1 (N)'!U22</f>
        <v>0</v>
      </c>
      <c r="Q46" s="498">
        <f>'F5'!Q46+'F5.1 (N)'!V22</f>
        <v>0</v>
      </c>
      <c r="R46" s="494">
        <f t="shared" si="13"/>
        <v>1.8647468573135173</v>
      </c>
      <c r="S46" s="494">
        <f t="shared" si="14"/>
        <v>1.8647468573135173</v>
      </c>
      <c r="T46" s="498">
        <f>'F5'!T46+'F5.1 (N)'!Y22</f>
        <v>0</v>
      </c>
      <c r="U46" s="498">
        <f>'F5'!U46+'F5.1 (N)'!Z22</f>
        <v>0</v>
      </c>
      <c r="V46" s="498">
        <f>'F5'!V46+'F5.1 (N)'!AA22</f>
        <v>0</v>
      </c>
      <c r="W46" s="494">
        <f t="shared" si="15"/>
        <v>1.8647468573135173</v>
      </c>
    </row>
    <row r="47" spans="1:33" s="11" customFormat="1" x14ac:dyDescent="0.3">
      <c r="A47" s="603"/>
      <c r="B47" s="492">
        <f t="shared" si="16"/>
        <v>8</v>
      </c>
      <c r="C47" s="497" t="s">
        <v>865</v>
      </c>
      <c r="D47" s="494">
        <f t="shared" si="8"/>
        <v>0</v>
      </c>
      <c r="E47" s="498">
        <f>'F5'!E47+'F5.1 (N)'!J23</f>
        <v>0</v>
      </c>
      <c r="F47" s="498">
        <f>'F5'!F47+'F5.1 (N)'!K23</f>
        <v>0</v>
      </c>
      <c r="G47" s="498">
        <f>'F5'!G47+'F5.1 (N)'!L23</f>
        <v>0</v>
      </c>
      <c r="H47" s="494">
        <f t="shared" si="9"/>
        <v>0</v>
      </c>
      <c r="I47" s="494">
        <f t="shared" si="10"/>
        <v>0</v>
      </c>
      <c r="J47" s="498">
        <f>'F5'!J47+'F5.1 (N)'!O23</f>
        <v>0</v>
      </c>
      <c r="K47" s="498">
        <f>'F5'!K47+'F5.1 (N)'!P23</f>
        <v>0</v>
      </c>
      <c r="L47" s="498">
        <f>'F5'!L47+'F5.1 (N)'!Q23</f>
        <v>0</v>
      </c>
      <c r="M47" s="494">
        <f t="shared" si="11"/>
        <v>0</v>
      </c>
      <c r="N47" s="494">
        <f t="shared" si="12"/>
        <v>0</v>
      </c>
      <c r="O47" s="498">
        <f>'F5'!O47+'F5.1 (N)'!T23</f>
        <v>0</v>
      </c>
      <c r="P47" s="498">
        <f>'F5'!P47+'F5.1 (N)'!U23</f>
        <v>0</v>
      </c>
      <c r="Q47" s="498">
        <f>'F5'!Q47+'F5.1 (N)'!V23</f>
        <v>0</v>
      </c>
      <c r="R47" s="494">
        <f t="shared" si="13"/>
        <v>0</v>
      </c>
      <c r="S47" s="494">
        <f t="shared" si="14"/>
        <v>0</v>
      </c>
      <c r="T47" s="498">
        <f>'F5'!T47+'F5.1 (N)'!Y23</f>
        <v>0</v>
      </c>
      <c r="U47" s="498">
        <f>'F5'!U47+'F5.1 (N)'!Z23</f>
        <v>0</v>
      </c>
      <c r="V47" s="498">
        <f>'F5'!V47+'F5.1 (N)'!AA23</f>
        <v>0</v>
      </c>
      <c r="W47" s="494">
        <f t="shared" si="15"/>
        <v>0</v>
      </c>
    </row>
    <row r="48" spans="1:33" s="11" customFormat="1" x14ac:dyDescent="0.3">
      <c r="A48" s="603"/>
      <c r="B48" s="492">
        <f t="shared" si="16"/>
        <v>9</v>
      </c>
      <c r="C48" s="497" t="s">
        <v>866</v>
      </c>
      <c r="D48" s="494">
        <f t="shared" si="8"/>
        <v>2.4760351889857151</v>
      </c>
      <c r="E48" s="498">
        <f>'F5'!E48+'F5.1 (N)'!J24</f>
        <v>4.2125000000000004</v>
      </c>
      <c r="F48" s="498">
        <f>'F5'!F48+'F5.1 (N)'!K24</f>
        <v>0</v>
      </c>
      <c r="G48" s="498">
        <f>'F5'!G48+'F5.1 (N)'!L24</f>
        <v>0</v>
      </c>
      <c r="H48" s="494">
        <f t="shared" si="9"/>
        <v>6.6885351889857159</v>
      </c>
      <c r="I48" s="494">
        <f t="shared" si="10"/>
        <v>6.6885351889857159</v>
      </c>
      <c r="J48" s="498">
        <f>'F5'!J48+'F5.1 (N)'!O24</f>
        <v>0.25</v>
      </c>
      <c r="K48" s="498">
        <f>'F5'!K48+'F5.1 (N)'!P24</f>
        <v>0</v>
      </c>
      <c r="L48" s="498">
        <f>'F5'!L48+'F5.1 (N)'!Q24</f>
        <v>0</v>
      </c>
      <c r="M48" s="494">
        <f t="shared" si="11"/>
        <v>6.9385351889857159</v>
      </c>
      <c r="N48" s="494">
        <f t="shared" si="12"/>
        <v>6.9385351889857159</v>
      </c>
      <c r="O48" s="498">
        <f>'F5'!O48+'F5.1 (N)'!T24</f>
        <v>0</v>
      </c>
      <c r="P48" s="498">
        <f>'F5'!P48+'F5.1 (N)'!U24</f>
        <v>0</v>
      </c>
      <c r="Q48" s="498">
        <f>'F5'!Q48+'F5.1 (N)'!V24</f>
        <v>0</v>
      </c>
      <c r="R48" s="494">
        <f t="shared" si="13"/>
        <v>6.9385351889857159</v>
      </c>
      <c r="S48" s="494">
        <f t="shared" si="14"/>
        <v>6.9385351889857159</v>
      </c>
      <c r="T48" s="498">
        <f>'F5'!T48+'F5.1 (N)'!Y24</f>
        <v>0</v>
      </c>
      <c r="U48" s="498">
        <f>'F5'!U48+'F5.1 (N)'!Z24</f>
        <v>0</v>
      </c>
      <c r="V48" s="498">
        <f>'F5'!V48+'F5.1 (N)'!AA24</f>
        <v>0</v>
      </c>
      <c r="W48" s="494">
        <f t="shared" si="15"/>
        <v>6.9385351889857159</v>
      </c>
    </row>
    <row r="49" spans="1:23" s="11" customFormat="1" x14ac:dyDescent="0.3">
      <c r="A49" s="603"/>
      <c r="B49" s="492">
        <f t="shared" si="16"/>
        <v>10</v>
      </c>
      <c r="C49" s="497" t="s">
        <v>258</v>
      </c>
      <c r="D49" s="494">
        <f t="shared" si="8"/>
        <v>1.4729866408074528</v>
      </c>
      <c r="E49" s="498">
        <f>'F5'!E49+'F5.1 (N)'!J25</f>
        <v>0</v>
      </c>
      <c r="F49" s="498">
        <f>'F5'!F49+'F5.1 (N)'!K25</f>
        <v>0</v>
      </c>
      <c r="G49" s="498">
        <f>'F5'!G49+'F5.1 (N)'!L25</f>
        <v>0</v>
      </c>
      <c r="H49" s="494">
        <f t="shared" si="9"/>
        <v>1.4729866408074528</v>
      </c>
      <c r="I49" s="494">
        <f t="shared" si="10"/>
        <v>1.4729866408074528</v>
      </c>
      <c r="J49" s="498">
        <f>'F5'!J49+'F5.1 (N)'!O25</f>
        <v>0</v>
      </c>
      <c r="K49" s="498">
        <f>'F5'!K49+'F5.1 (N)'!P25</f>
        <v>0</v>
      </c>
      <c r="L49" s="498">
        <f>'F5'!L49+'F5.1 (N)'!Q25</f>
        <v>0</v>
      </c>
      <c r="M49" s="494">
        <f t="shared" si="11"/>
        <v>1.4729866408074528</v>
      </c>
      <c r="N49" s="494">
        <f t="shared" si="12"/>
        <v>1.4729866408074528</v>
      </c>
      <c r="O49" s="498">
        <f>'F5'!O49+'F5.1 (N)'!T25</f>
        <v>0</v>
      </c>
      <c r="P49" s="498">
        <f>'F5'!P49+'F5.1 (N)'!U25</f>
        <v>0</v>
      </c>
      <c r="Q49" s="498">
        <f>'F5'!Q49+'F5.1 (N)'!V25</f>
        <v>0</v>
      </c>
      <c r="R49" s="494">
        <f t="shared" si="13"/>
        <v>1.4729866408074528</v>
      </c>
      <c r="S49" s="494">
        <f t="shared" si="14"/>
        <v>1.4729866408074528</v>
      </c>
      <c r="T49" s="498">
        <f>'F5'!T49+'F5.1 (N)'!Y25</f>
        <v>0</v>
      </c>
      <c r="U49" s="498">
        <f>'F5'!U49+'F5.1 (N)'!Z25</f>
        <v>0</v>
      </c>
      <c r="V49" s="498">
        <f>'F5'!V49+'F5.1 (N)'!AA25</f>
        <v>0</v>
      </c>
      <c r="W49" s="494">
        <f t="shared" si="15"/>
        <v>1.4729866408074528</v>
      </c>
    </row>
    <row r="50" spans="1:23" s="11" customFormat="1" x14ac:dyDescent="0.3">
      <c r="A50" s="603"/>
      <c r="B50" s="492">
        <f t="shared" si="16"/>
        <v>11</v>
      </c>
      <c r="C50" s="497" t="s">
        <v>259</v>
      </c>
      <c r="D50" s="494">
        <f t="shared" si="8"/>
        <v>3.0217228723922309</v>
      </c>
      <c r="E50" s="498">
        <f>'F5'!E50+'F5.1 (N)'!J26</f>
        <v>0</v>
      </c>
      <c r="F50" s="498">
        <f>'F5'!F50+'F5.1 (N)'!K26</f>
        <v>0</v>
      </c>
      <c r="G50" s="498">
        <f>'F5'!G50+'F5.1 (N)'!L26</f>
        <v>0</v>
      </c>
      <c r="H50" s="494">
        <f t="shared" si="9"/>
        <v>3.0217228723922309</v>
      </c>
      <c r="I50" s="494">
        <f t="shared" si="10"/>
        <v>3.0217228723922309</v>
      </c>
      <c r="J50" s="498">
        <f>'F5'!J50+'F5.1 (N)'!O26</f>
        <v>0</v>
      </c>
      <c r="K50" s="498">
        <f>'F5'!K50+'F5.1 (N)'!P26</f>
        <v>0</v>
      </c>
      <c r="L50" s="498">
        <f>'F5'!L50+'F5.1 (N)'!Q26</f>
        <v>0</v>
      </c>
      <c r="M50" s="494">
        <f t="shared" si="11"/>
        <v>3.0217228723922309</v>
      </c>
      <c r="N50" s="494">
        <f t="shared" si="12"/>
        <v>3.0217228723922309</v>
      </c>
      <c r="O50" s="498">
        <f>'F5'!O50+'F5.1 (N)'!T26</f>
        <v>0</v>
      </c>
      <c r="P50" s="498">
        <f>'F5'!P50+'F5.1 (N)'!U26</f>
        <v>0</v>
      </c>
      <c r="Q50" s="498">
        <f>'F5'!Q50+'F5.1 (N)'!V26</f>
        <v>0</v>
      </c>
      <c r="R50" s="494">
        <f t="shared" si="13"/>
        <v>3.0217228723922309</v>
      </c>
      <c r="S50" s="494">
        <f t="shared" si="14"/>
        <v>3.0217228723922309</v>
      </c>
      <c r="T50" s="498">
        <f>'F5'!T50+'F5.1 (N)'!Y26</f>
        <v>0</v>
      </c>
      <c r="U50" s="498">
        <f>'F5'!U50+'F5.1 (N)'!Z26</f>
        <v>0</v>
      </c>
      <c r="V50" s="498">
        <f>'F5'!V50+'F5.1 (N)'!AA26</f>
        <v>0</v>
      </c>
      <c r="W50" s="494">
        <f t="shared" si="15"/>
        <v>3.0217228723922309</v>
      </c>
    </row>
    <row r="51" spans="1:23" s="2" customFormat="1" x14ac:dyDescent="0.3">
      <c r="A51" s="603"/>
      <c r="B51" s="492">
        <f t="shared" si="16"/>
        <v>12</v>
      </c>
      <c r="C51" s="497" t="s">
        <v>260</v>
      </c>
      <c r="D51" s="494">
        <f t="shared" si="8"/>
        <v>2.5880001347603501</v>
      </c>
      <c r="E51" s="498">
        <f>'F5'!E51+'F5.1 (N)'!J27</f>
        <v>0</v>
      </c>
      <c r="F51" s="498">
        <f>'F5'!F51+'F5.1 (N)'!K27</f>
        <v>0</v>
      </c>
      <c r="G51" s="498">
        <f>'F5'!G51+'F5.1 (N)'!L27</f>
        <v>0</v>
      </c>
      <c r="H51" s="494">
        <f t="shared" si="9"/>
        <v>2.5880001347603501</v>
      </c>
      <c r="I51" s="494">
        <f t="shared" si="10"/>
        <v>2.5880001347603501</v>
      </c>
      <c r="J51" s="498">
        <f>'F5'!J51+'F5.1 (N)'!O27</f>
        <v>0</v>
      </c>
      <c r="K51" s="498">
        <f>'F5'!K51+'F5.1 (N)'!P27</f>
        <v>0</v>
      </c>
      <c r="L51" s="498">
        <f>'F5'!L51+'F5.1 (N)'!Q27</f>
        <v>0</v>
      </c>
      <c r="M51" s="494">
        <f t="shared" si="11"/>
        <v>2.5880001347603501</v>
      </c>
      <c r="N51" s="494">
        <f t="shared" si="12"/>
        <v>2.5880001347603501</v>
      </c>
      <c r="O51" s="498">
        <f>'F5'!O51+'F5.1 (N)'!T27</f>
        <v>0</v>
      </c>
      <c r="P51" s="498">
        <f>'F5'!P51+'F5.1 (N)'!U27</f>
        <v>0</v>
      </c>
      <c r="Q51" s="498">
        <f>'F5'!Q51+'F5.1 (N)'!V27</f>
        <v>0</v>
      </c>
      <c r="R51" s="494">
        <f t="shared" si="13"/>
        <v>2.5880001347603501</v>
      </c>
      <c r="S51" s="494">
        <f t="shared" si="14"/>
        <v>2.5880001347603501</v>
      </c>
      <c r="T51" s="498">
        <f>'F5'!T51+'F5.1 (N)'!Y27</f>
        <v>0</v>
      </c>
      <c r="U51" s="498">
        <f>'F5'!U51+'F5.1 (N)'!Z27</f>
        <v>0</v>
      </c>
      <c r="V51" s="498">
        <f>'F5'!V51+'F5.1 (N)'!AA27</f>
        <v>0</v>
      </c>
      <c r="W51" s="494">
        <f t="shared" si="15"/>
        <v>2.5880001347603501</v>
      </c>
    </row>
    <row r="52" spans="1:23" s="2" customFormat="1" x14ac:dyDescent="0.3">
      <c r="A52" s="603"/>
      <c r="B52" s="492">
        <f t="shared" si="16"/>
        <v>13</v>
      </c>
      <c r="C52" s="497" t="s">
        <v>874</v>
      </c>
      <c r="D52" s="494">
        <f t="shared" si="8"/>
        <v>0</v>
      </c>
      <c r="E52" s="498">
        <f>'F5'!E52+'F5.1 (N)'!J28</f>
        <v>0</v>
      </c>
      <c r="F52" s="498">
        <f>'F5'!F52+'F5.1 (N)'!K28</f>
        <v>0</v>
      </c>
      <c r="G52" s="498">
        <f>'F5'!G52+'F5.1 (N)'!L28</f>
        <v>0</v>
      </c>
      <c r="H52" s="494">
        <f t="shared" si="9"/>
        <v>0</v>
      </c>
      <c r="I52" s="494">
        <f t="shared" si="10"/>
        <v>0</v>
      </c>
      <c r="J52" s="498">
        <f>'F5'!J52+'F5.1 (N)'!O28</f>
        <v>0</v>
      </c>
      <c r="K52" s="498">
        <f>'F5'!K52+'F5.1 (N)'!P28</f>
        <v>0</v>
      </c>
      <c r="L52" s="498">
        <f>'F5'!L52+'F5.1 (N)'!Q28</f>
        <v>0</v>
      </c>
      <c r="M52" s="494">
        <f t="shared" si="11"/>
        <v>0</v>
      </c>
      <c r="N52" s="494">
        <f t="shared" si="12"/>
        <v>0</v>
      </c>
      <c r="O52" s="498">
        <f>'F5'!O52+'F5.1 (N)'!T28</f>
        <v>0</v>
      </c>
      <c r="P52" s="498">
        <f>'F5'!P52+'F5.1 (N)'!U28</f>
        <v>0</v>
      </c>
      <c r="Q52" s="498">
        <f>'F5'!Q52+'F5.1 (N)'!V28</f>
        <v>0</v>
      </c>
      <c r="R52" s="494">
        <f t="shared" si="13"/>
        <v>0</v>
      </c>
      <c r="S52" s="494">
        <f t="shared" si="14"/>
        <v>0</v>
      </c>
      <c r="T52" s="498">
        <f>'F5'!T52+'F5.1 (N)'!Y28</f>
        <v>0</v>
      </c>
      <c r="U52" s="498">
        <f>'F5'!U52+'F5.1 (N)'!Z28</f>
        <v>0</v>
      </c>
      <c r="V52" s="498">
        <f>'F5'!V52+'F5.1 (N)'!AA28</f>
        <v>0</v>
      </c>
      <c r="W52" s="494">
        <f t="shared" si="15"/>
        <v>0</v>
      </c>
    </row>
    <row r="53" spans="1:23" s="2" customFormat="1" x14ac:dyDescent="0.3">
      <c r="A53" s="603"/>
      <c r="B53" s="492">
        <f t="shared" si="16"/>
        <v>14</v>
      </c>
      <c r="C53" s="497" t="s">
        <v>875</v>
      </c>
      <c r="D53" s="494">
        <f t="shared" si="8"/>
        <v>0</v>
      </c>
      <c r="E53" s="498">
        <f>'F5'!E53+'F5.1 (N)'!J29</f>
        <v>0</v>
      </c>
      <c r="F53" s="498">
        <f>'F5'!F53+'F5.1 (N)'!K29</f>
        <v>0</v>
      </c>
      <c r="G53" s="498">
        <f>'F5'!G53+'F5.1 (N)'!L29</f>
        <v>0</v>
      </c>
      <c r="H53" s="494">
        <f t="shared" si="9"/>
        <v>0</v>
      </c>
      <c r="I53" s="494">
        <f t="shared" si="10"/>
        <v>0</v>
      </c>
      <c r="J53" s="498">
        <f>'F5'!J53+'F5.1 (N)'!O29</f>
        <v>0</v>
      </c>
      <c r="K53" s="498">
        <f>'F5'!K53+'F5.1 (N)'!P29</f>
        <v>0</v>
      </c>
      <c r="L53" s="498">
        <f>'F5'!L53+'F5.1 (N)'!Q29</f>
        <v>0</v>
      </c>
      <c r="M53" s="494">
        <f t="shared" si="11"/>
        <v>0</v>
      </c>
      <c r="N53" s="494">
        <f t="shared" si="12"/>
        <v>0</v>
      </c>
      <c r="O53" s="498">
        <f>'F5'!O53+'F5.1 (N)'!T29</f>
        <v>0</v>
      </c>
      <c r="P53" s="498">
        <f>'F5'!P53+'F5.1 (N)'!U29</f>
        <v>0</v>
      </c>
      <c r="Q53" s="498">
        <f>'F5'!Q53+'F5.1 (N)'!V29</f>
        <v>0</v>
      </c>
      <c r="R53" s="494">
        <f t="shared" si="13"/>
        <v>0</v>
      </c>
      <c r="S53" s="494">
        <f t="shared" si="14"/>
        <v>0</v>
      </c>
      <c r="T53" s="498">
        <f>'F5'!T53+'F5.1 (N)'!Y29</f>
        <v>0</v>
      </c>
      <c r="U53" s="498">
        <f>'F5'!U53+'F5.1 (N)'!Z29</f>
        <v>0</v>
      </c>
      <c r="V53" s="498">
        <f>'F5'!V53+'F5.1 (N)'!AA29</f>
        <v>0</v>
      </c>
      <c r="W53" s="494">
        <f t="shared" si="15"/>
        <v>0</v>
      </c>
    </row>
    <row r="54" spans="1:23" s="2" customFormat="1" x14ac:dyDescent="0.3">
      <c r="A54" s="603"/>
      <c r="B54" s="492">
        <f t="shared" si="16"/>
        <v>15</v>
      </c>
      <c r="C54" s="497" t="s">
        <v>876</v>
      </c>
      <c r="D54" s="494">
        <f t="shared" si="8"/>
        <v>0</v>
      </c>
      <c r="E54" s="498">
        <f>'F5'!E54+'F5.1 (N)'!J30</f>
        <v>0</v>
      </c>
      <c r="F54" s="498">
        <f>'F5'!F54+'F5.1 (N)'!K30</f>
        <v>0</v>
      </c>
      <c r="G54" s="498">
        <f>'F5'!G54+'F5.1 (N)'!L30</f>
        <v>0</v>
      </c>
      <c r="H54" s="494">
        <f t="shared" si="9"/>
        <v>0</v>
      </c>
      <c r="I54" s="494">
        <f t="shared" si="10"/>
        <v>0</v>
      </c>
      <c r="J54" s="498">
        <f>'F5'!J54+'F5.1 (N)'!O30</f>
        <v>0</v>
      </c>
      <c r="K54" s="498">
        <f>'F5'!K54+'F5.1 (N)'!P30</f>
        <v>0</v>
      </c>
      <c r="L54" s="498">
        <f>'F5'!L54+'F5.1 (N)'!Q30</f>
        <v>0</v>
      </c>
      <c r="M54" s="494">
        <f t="shared" si="11"/>
        <v>0</v>
      </c>
      <c r="N54" s="494">
        <f t="shared" si="12"/>
        <v>0</v>
      </c>
      <c r="O54" s="498">
        <f>'F5'!O54+'F5.1 (N)'!T30</f>
        <v>0</v>
      </c>
      <c r="P54" s="498">
        <f>'F5'!P54+'F5.1 (N)'!U30</f>
        <v>0</v>
      </c>
      <c r="Q54" s="498">
        <f>'F5'!Q54+'F5.1 (N)'!V30</f>
        <v>0</v>
      </c>
      <c r="R54" s="494">
        <f t="shared" si="13"/>
        <v>0</v>
      </c>
      <c r="S54" s="494">
        <f t="shared" si="14"/>
        <v>0</v>
      </c>
      <c r="T54" s="498">
        <f>'F5'!T54+'F5.1 (N)'!Y30</f>
        <v>0</v>
      </c>
      <c r="U54" s="498">
        <f>'F5'!U54+'F5.1 (N)'!Z30</f>
        <v>0</v>
      </c>
      <c r="V54" s="498">
        <f>'F5'!V54+'F5.1 (N)'!AA30</f>
        <v>0</v>
      </c>
      <c r="W54" s="494">
        <f t="shared" si="15"/>
        <v>0</v>
      </c>
    </row>
    <row r="55" spans="1:23" s="2" customFormat="1" x14ac:dyDescent="0.3">
      <c r="A55" s="603"/>
      <c r="B55" s="492">
        <f t="shared" si="16"/>
        <v>16</v>
      </c>
      <c r="C55" s="497" t="s">
        <v>867</v>
      </c>
      <c r="D55" s="494">
        <f t="shared" si="8"/>
        <v>1.424019278351218</v>
      </c>
      <c r="E55" s="498">
        <f>'F5'!E55+'F5.1 (N)'!J31</f>
        <v>0</v>
      </c>
      <c r="F55" s="498">
        <f>'F5'!F55+'F5.1 (N)'!K31</f>
        <v>0</v>
      </c>
      <c r="G55" s="498">
        <f>'F5'!G55+'F5.1 (N)'!L31</f>
        <v>0</v>
      </c>
      <c r="H55" s="494">
        <f t="shared" si="9"/>
        <v>1.424019278351218</v>
      </c>
      <c r="I55" s="494">
        <f t="shared" si="10"/>
        <v>1.424019278351218</v>
      </c>
      <c r="J55" s="498">
        <f>'F5'!J55+'F5.1 (N)'!O31</f>
        <v>0</v>
      </c>
      <c r="K55" s="498">
        <f>'F5'!K55+'F5.1 (N)'!P31</f>
        <v>0</v>
      </c>
      <c r="L55" s="498">
        <f>'F5'!L55+'F5.1 (N)'!Q31</f>
        <v>0</v>
      </c>
      <c r="M55" s="494">
        <f t="shared" si="11"/>
        <v>1.424019278351218</v>
      </c>
      <c r="N55" s="494">
        <f t="shared" si="12"/>
        <v>1.424019278351218</v>
      </c>
      <c r="O55" s="498">
        <f>'F5'!O55+'F5.1 (N)'!T31</f>
        <v>0</v>
      </c>
      <c r="P55" s="498">
        <f>'F5'!P55+'F5.1 (N)'!U31</f>
        <v>0</v>
      </c>
      <c r="Q55" s="498">
        <f>'F5'!Q55+'F5.1 (N)'!V31</f>
        <v>0</v>
      </c>
      <c r="R55" s="494">
        <f t="shared" si="13"/>
        <v>1.424019278351218</v>
      </c>
      <c r="S55" s="494">
        <f t="shared" si="14"/>
        <v>1.424019278351218</v>
      </c>
      <c r="T55" s="498">
        <f>'F5'!T55+'F5.1 (N)'!Y31</f>
        <v>0</v>
      </c>
      <c r="U55" s="498">
        <f>'F5'!U55+'F5.1 (N)'!Z31</f>
        <v>0</v>
      </c>
      <c r="V55" s="498">
        <f>'F5'!V55+'F5.1 (N)'!AA31</f>
        <v>0</v>
      </c>
      <c r="W55" s="494">
        <f t="shared" si="15"/>
        <v>1.424019278351218</v>
      </c>
    </row>
    <row r="56" spans="1:23" s="2" customFormat="1" x14ac:dyDescent="0.3">
      <c r="A56" s="603"/>
      <c r="B56" s="492">
        <f t="shared" si="16"/>
        <v>17</v>
      </c>
      <c r="C56" s="497" t="s">
        <v>877</v>
      </c>
      <c r="D56" s="494">
        <f t="shared" si="8"/>
        <v>4.124428840666666</v>
      </c>
      <c r="E56" s="498">
        <f>'F5'!E56+'F5.1 (N)'!J32</f>
        <v>0.15</v>
      </c>
      <c r="F56" s="498">
        <f>'F5'!F56+'F5.1 (N)'!K32</f>
        <v>0</v>
      </c>
      <c r="G56" s="498">
        <f>'F5'!G56+'F5.1 (N)'!L32</f>
        <v>0</v>
      </c>
      <c r="H56" s="494">
        <f t="shared" si="9"/>
        <v>4.2744288406666664</v>
      </c>
      <c r="I56" s="494">
        <f t="shared" si="10"/>
        <v>4.2744288406666664</v>
      </c>
      <c r="J56" s="498">
        <f>'F5'!J56+'F5.1 (N)'!O32</f>
        <v>0</v>
      </c>
      <c r="K56" s="498">
        <f>'F5'!K56+'F5.1 (N)'!P32</f>
        <v>0</v>
      </c>
      <c r="L56" s="498">
        <f>'F5'!L56+'F5.1 (N)'!Q32</f>
        <v>0</v>
      </c>
      <c r="M56" s="494">
        <f t="shared" si="11"/>
        <v>4.2744288406666664</v>
      </c>
      <c r="N56" s="494">
        <f t="shared" si="12"/>
        <v>4.2744288406666664</v>
      </c>
      <c r="O56" s="498">
        <f>'F5'!O56+'F5.1 (N)'!T32</f>
        <v>0</v>
      </c>
      <c r="P56" s="498">
        <f>'F5'!P56+'F5.1 (N)'!U32</f>
        <v>0</v>
      </c>
      <c r="Q56" s="498">
        <f>'F5'!Q56+'F5.1 (N)'!V32</f>
        <v>0</v>
      </c>
      <c r="R56" s="494">
        <f t="shared" si="13"/>
        <v>4.2744288406666664</v>
      </c>
      <c r="S56" s="494">
        <f t="shared" si="14"/>
        <v>4.2744288406666664</v>
      </c>
      <c r="T56" s="498">
        <f>'F5'!T56+'F5.1 (N)'!Y32</f>
        <v>0</v>
      </c>
      <c r="U56" s="498">
        <f>'F5'!U56+'F5.1 (N)'!Z32</f>
        <v>0</v>
      </c>
      <c r="V56" s="498">
        <f>'F5'!V56+'F5.1 (N)'!AA32</f>
        <v>0</v>
      </c>
      <c r="W56" s="494">
        <f t="shared" si="15"/>
        <v>4.2744288406666664</v>
      </c>
    </row>
    <row r="57" spans="1:23" s="1" customFormat="1" ht="16" x14ac:dyDescent="0.3">
      <c r="B57" s="84"/>
      <c r="C57" s="99" t="s">
        <v>271</v>
      </c>
      <c r="D57" s="485">
        <f>SUM(D40:D56)</f>
        <v>147.83825498736454</v>
      </c>
      <c r="E57" s="485">
        <f>SUM(E40:E56)</f>
        <v>25.284999999999997</v>
      </c>
      <c r="F57" s="485">
        <f>SUM(F40:F56)</f>
        <v>0</v>
      </c>
      <c r="G57" s="485">
        <f>SUM(G40:G56)</f>
        <v>0</v>
      </c>
      <c r="H57" s="485">
        <f>SUM(H40:H56)</f>
        <v>173.12325498736453</v>
      </c>
      <c r="I57" s="485">
        <f t="shared" ref="I57:W57" si="17">SUM(I40:I56)</f>
        <v>173.12325498736453</v>
      </c>
      <c r="J57" s="485">
        <f t="shared" si="17"/>
        <v>46.97</v>
      </c>
      <c r="K57" s="485">
        <f t="shared" si="17"/>
        <v>0</v>
      </c>
      <c r="L57" s="485">
        <f t="shared" si="17"/>
        <v>0</v>
      </c>
      <c r="M57" s="485">
        <f t="shared" si="17"/>
        <v>220.09325498736453</v>
      </c>
      <c r="N57" s="485">
        <f t="shared" si="17"/>
        <v>220.09325498736453</v>
      </c>
      <c r="O57" s="485">
        <f t="shared" si="17"/>
        <v>27.733333333333331</v>
      </c>
      <c r="P57" s="485">
        <f t="shared" si="17"/>
        <v>0</v>
      </c>
      <c r="Q57" s="485">
        <f t="shared" si="17"/>
        <v>0</v>
      </c>
      <c r="R57" s="485">
        <f t="shared" si="17"/>
        <v>247.82658832069788</v>
      </c>
      <c r="S57" s="485">
        <f t="shared" si="17"/>
        <v>247.82658832069788</v>
      </c>
      <c r="T57" s="485">
        <f t="shared" si="17"/>
        <v>35</v>
      </c>
      <c r="U57" s="485">
        <f t="shared" si="17"/>
        <v>0</v>
      </c>
      <c r="V57" s="485">
        <f t="shared" si="17"/>
        <v>0</v>
      </c>
      <c r="W57" s="485">
        <f t="shared" si="17"/>
        <v>282.82658832069785</v>
      </c>
    </row>
    <row r="58" spans="1:23" s="1" customFormat="1" ht="16" x14ac:dyDescent="0.3">
      <c r="B58" s="302"/>
      <c r="C58" s="302"/>
      <c r="D58" s="302"/>
      <c r="E58" s="302"/>
      <c r="F58" s="302"/>
      <c r="G58" s="302"/>
      <c r="H58" s="302"/>
      <c r="I58" s="302"/>
      <c r="J58" s="302"/>
      <c r="K58" s="302"/>
      <c r="L58" s="302"/>
      <c r="M58" s="302"/>
      <c r="N58" s="302"/>
      <c r="O58" s="302"/>
    </row>
    <row r="59" spans="1:23" ht="16" x14ac:dyDescent="0.3">
      <c r="B59" s="302"/>
      <c r="C59" s="302"/>
      <c r="D59" s="302"/>
      <c r="E59" s="302"/>
      <c r="F59" s="302"/>
      <c r="G59" s="302"/>
      <c r="H59" s="302"/>
      <c r="I59" s="302"/>
      <c r="J59" s="302"/>
      <c r="K59" s="302"/>
      <c r="L59" s="302"/>
      <c r="M59" s="302"/>
      <c r="N59" s="302"/>
      <c r="O59" s="302"/>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868" t="s">
        <v>272</v>
      </c>
      <c r="C61" s="1"/>
      <c r="D61" s="1"/>
      <c r="E61" s="1"/>
      <c r="F61" s="1"/>
      <c r="G61" s="1"/>
      <c r="H61" s="1"/>
      <c r="I61" s="1"/>
      <c r="J61" s="1"/>
      <c r="K61" s="1"/>
      <c r="L61" s="1"/>
      <c r="M61" s="1"/>
      <c r="N61" s="1"/>
      <c r="O61" s="1"/>
      <c r="P61" s="1"/>
      <c r="Q61" s="1"/>
      <c r="R61" s="1"/>
    </row>
    <row r="62" spans="1:23" x14ac:dyDescent="0.3">
      <c r="B62" s="868"/>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2"/>
      <c r="K63" s="1"/>
      <c r="L63" s="1"/>
      <c r="M63" s="297" t="s">
        <v>10</v>
      </c>
      <c r="N63" s="42"/>
      <c r="O63" s="1"/>
      <c r="P63" s="1"/>
      <c r="Q63" s="1"/>
    </row>
    <row r="64" spans="1:23" ht="15" customHeight="1" x14ac:dyDescent="0.3">
      <c r="B64" s="1521" t="s">
        <v>343</v>
      </c>
      <c r="C64" s="1521" t="s">
        <v>37</v>
      </c>
      <c r="D64" s="1649" t="s">
        <v>519</v>
      </c>
      <c r="E64" s="1650"/>
      <c r="F64" s="1650"/>
      <c r="G64" s="1650"/>
      <c r="H64" s="1651"/>
      <c r="I64" s="1652" t="s">
        <v>520</v>
      </c>
      <c r="J64" s="1652"/>
      <c r="K64" s="1652"/>
      <c r="L64" s="1652"/>
      <c r="M64" s="1652"/>
      <c r="N64" s="1648" t="s">
        <v>521</v>
      </c>
      <c r="O64" s="1648"/>
      <c r="P64" s="1648"/>
      <c r="Q64" s="1648"/>
      <c r="R64" s="1648"/>
      <c r="S64" s="1648" t="s">
        <v>940</v>
      </c>
      <c r="T64" s="1648"/>
      <c r="U64" s="1648"/>
      <c r="V64" s="1648"/>
      <c r="W64" s="1648"/>
    </row>
    <row r="65" spans="1:25" x14ac:dyDescent="0.3">
      <c r="B65" s="1521"/>
      <c r="C65" s="1521"/>
      <c r="D65" s="1654" t="s">
        <v>7</v>
      </c>
      <c r="E65" s="1655"/>
      <c r="F65" s="1655"/>
      <c r="G65" s="1655"/>
      <c r="H65" s="1655"/>
      <c r="I65" s="1654" t="s">
        <v>7</v>
      </c>
      <c r="J65" s="1655"/>
      <c r="K65" s="1655"/>
      <c r="L65" s="1655"/>
      <c r="M65" s="1655"/>
      <c r="N65" s="1654" t="s">
        <v>12</v>
      </c>
      <c r="O65" s="1655"/>
      <c r="P65" s="1655"/>
      <c r="Q65" s="1655"/>
      <c r="R65" s="1655"/>
      <c r="S65" s="1652" t="s">
        <v>21</v>
      </c>
      <c r="T65" s="1653"/>
      <c r="U65" s="1653"/>
      <c r="V65" s="1653"/>
      <c r="W65" s="1653"/>
    </row>
    <row r="66" spans="1:25" ht="56" x14ac:dyDescent="0.3">
      <c r="A66" s="5" t="s">
        <v>1408</v>
      </c>
      <c r="B66" s="1521"/>
      <c r="C66" s="1521"/>
      <c r="D66" s="869" t="s">
        <v>273</v>
      </c>
      <c r="E66" s="869" t="s">
        <v>268</v>
      </c>
      <c r="F66" s="303" t="s">
        <v>274</v>
      </c>
      <c r="G66" s="867" t="s">
        <v>601</v>
      </c>
      <c r="H66" s="869" t="s">
        <v>275</v>
      </c>
      <c r="I66" s="869" t="s">
        <v>273</v>
      </c>
      <c r="J66" s="869" t="s">
        <v>268</v>
      </c>
      <c r="K66" s="303" t="s">
        <v>274</v>
      </c>
      <c r="L66" s="867" t="s">
        <v>601</v>
      </c>
      <c r="M66" s="869" t="s">
        <v>275</v>
      </c>
      <c r="N66" s="869" t="s">
        <v>273</v>
      </c>
      <c r="O66" s="869" t="s">
        <v>268</v>
      </c>
      <c r="P66" s="303" t="s">
        <v>274</v>
      </c>
      <c r="Q66" s="867" t="s">
        <v>601</v>
      </c>
      <c r="R66" s="869" t="s">
        <v>275</v>
      </c>
      <c r="S66" s="869" t="s">
        <v>273</v>
      </c>
      <c r="T66" s="869" t="s">
        <v>268</v>
      </c>
      <c r="U66" s="303" t="s">
        <v>274</v>
      </c>
      <c r="V66" s="867" t="s">
        <v>601</v>
      </c>
      <c r="W66" s="869" t="s">
        <v>275</v>
      </c>
    </row>
    <row r="67" spans="1:25" ht="28" x14ac:dyDescent="0.3">
      <c r="B67" s="298"/>
      <c r="C67" s="298"/>
      <c r="D67" s="298" t="s">
        <v>81</v>
      </c>
      <c r="E67" s="298" t="s">
        <v>82</v>
      </c>
      <c r="F67" s="298" t="s">
        <v>472</v>
      </c>
      <c r="G67" s="298" t="s">
        <v>397</v>
      </c>
      <c r="H67" s="298" t="s">
        <v>602</v>
      </c>
      <c r="I67" s="298" t="s">
        <v>414</v>
      </c>
      <c r="J67" s="298" t="s">
        <v>522</v>
      </c>
      <c r="K67" s="298" t="s">
        <v>415</v>
      </c>
      <c r="L67" s="298" t="s">
        <v>416</v>
      </c>
      <c r="M67" s="298" t="s">
        <v>669</v>
      </c>
      <c r="N67" s="298" t="s">
        <v>603</v>
      </c>
      <c r="O67" s="298" t="s">
        <v>670</v>
      </c>
      <c r="P67" s="298" t="s">
        <v>604</v>
      </c>
      <c r="Q67" s="298" t="s">
        <v>605</v>
      </c>
      <c r="R67" s="298" t="s">
        <v>671</v>
      </c>
      <c r="S67" s="298" t="s">
        <v>606</v>
      </c>
      <c r="T67" s="298" t="s">
        <v>607</v>
      </c>
      <c r="U67" s="298" t="s">
        <v>672</v>
      </c>
      <c r="V67" s="298" t="s">
        <v>608</v>
      </c>
      <c r="W67" s="298" t="s">
        <v>999</v>
      </c>
    </row>
    <row r="68" spans="1:25" x14ac:dyDescent="0.3">
      <c r="A68" s="586"/>
      <c r="B68" s="96">
        <v>1</v>
      </c>
      <c r="C68" s="632" t="s">
        <v>860</v>
      </c>
      <c r="D68" s="481">
        <f>'F5'!D68</f>
        <v>0</v>
      </c>
      <c r="E68" s="481">
        <f>'F5'!E68</f>
        <v>0</v>
      </c>
      <c r="F68" s="481">
        <f>'F5'!F68</f>
        <v>0</v>
      </c>
      <c r="G68" s="481">
        <f>'F5'!G68</f>
        <v>0</v>
      </c>
      <c r="H68" s="481">
        <f t="shared" ref="H68:H84" si="18">D68+E68-F68-G68</f>
        <v>0</v>
      </c>
      <c r="I68" s="483">
        <f>H68</f>
        <v>0</v>
      </c>
      <c r="J68" s="481">
        <f>'F5'!J68</f>
        <v>0</v>
      </c>
      <c r="K68" s="481">
        <f>'F5'!K68</f>
        <v>0</v>
      </c>
      <c r="L68" s="481">
        <f>'F5'!L68</f>
        <v>0</v>
      </c>
      <c r="M68" s="483">
        <f t="shared" ref="M68:M84" si="19">I68+J68-K68-L68</f>
        <v>0</v>
      </c>
      <c r="N68" s="481">
        <f>M68</f>
        <v>0</v>
      </c>
      <c r="O68" s="481">
        <f>'F5'!O68</f>
        <v>0</v>
      </c>
      <c r="P68" s="481">
        <f>'F5'!P68</f>
        <v>0</v>
      </c>
      <c r="Q68" s="481">
        <f>'F5'!Q68</f>
        <v>0</v>
      </c>
      <c r="R68" s="481">
        <f t="shared" ref="R68:R84" si="20">N68+O68-P68-Q68</f>
        <v>0</v>
      </c>
      <c r="S68" s="483">
        <f>'F5'!S68+'F5.1 (N)'!D44</f>
        <v>0</v>
      </c>
      <c r="T68" s="483">
        <f>'F5'!T68+'F5.1 (N)'!E44</f>
        <v>0</v>
      </c>
      <c r="U68" s="483">
        <f>'F5'!U68+'F5.1 (N)'!F44</f>
        <v>0</v>
      </c>
      <c r="V68" s="483">
        <f>'F5'!V68+'F5.1 (N)'!G44</f>
        <v>0</v>
      </c>
      <c r="W68" s="483">
        <f t="shared" ref="W68:W84" si="21">S68+T68-U68-V68</f>
        <v>0</v>
      </c>
      <c r="Y68" s="586"/>
    </row>
    <row r="69" spans="1:25" x14ac:dyDescent="0.3">
      <c r="A69" s="586"/>
      <c r="B69" s="96">
        <f>B68+1</f>
        <v>2</v>
      </c>
      <c r="C69" s="632" t="s">
        <v>255</v>
      </c>
      <c r="D69" s="481">
        <f>'F5'!D69</f>
        <v>6.1229759484397501</v>
      </c>
      <c r="E69" s="481">
        <f>'F5'!E69</f>
        <v>0.33760200515769584</v>
      </c>
      <c r="F69" s="481">
        <f>'F5'!F69</f>
        <v>1.2003000406247939</v>
      </c>
      <c r="G69" s="481">
        <f>'F5'!G69</f>
        <v>0</v>
      </c>
      <c r="H69" s="878">
        <f t="shared" si="18"/>
        <v>5.2602779129726525</v>
      </c>
      <c r="I69" s="483">
        <f t="shared" ref="I69:I84" si="22">H69</f>
        <v>5.2602779129726525</v>
      </c>
      <c r="J69" s="481">
        <f>'F5'!J69</f>
        <v>0.32044373735149584</v>
      </c>
      <c r="K69" s="481">
        <f>'F5'!K69</f>
        <v>0.278906060022441</v>
      </c>
      <c r="L69" s="481">
        <f>'F5'!L69</f>
        <v>0</v>
      </c>
      <c r="M69" s="483">
        <f t="shared" si="19"/>
        <v>5.3018155903017066</v>
      </c>
      <c r="N69" s="481">
        <f t="shared" ref="N69:N84" si="23">M69</f>
        <v>5.3018155903017066</v>
      </c>
      <c r="O69" s="481">
        <f>'F5'!O69</f>
        <v>0.3519196524960958</v>
      </c>
      <c r="P69" s="481">
        <f>'F5'!P69</f>
        <v>0</v>
      </c>
      <c r="Q69" s="481">
        <f>'F5'!Q69</f>
        <v>0</v>
      </c>
      <c r="R69" s="481">
        <f t="shared" si="20"/>
        <v>5.6537352427978025</v>
      </c>
      <c r="S69" s="483">
        <f>'F5'!S69+'F5.1 (N)'!D45</f>
        <v>5.6537352427978025</v>
      </c>
      <c r="T69" s="483">
        <f>'F5'!T69+'F5.1 (N)'!E45</f>
        <v>0.3519196524960958</v>
      </c>
      <c r="U69" s="483">
        <f>'F5'!U69+'F5.1 (N)'!F45</f>
        <v>0</v>
      </c>
      <c r="V69" s="483">
        <f>'F5'!V69+'F5.1 (N)'!G45</f>
        <v>0</v>
      </c>
      <c r="W69" s="483">
        <f t="shared" si="21"/>
        <v>6.0056548952938984</v>
      </c>
      <c r="Y69" s="586"/>
    </row>
    <row r="70" spans="1:25" x14ac:dyDescent="0.3">
      <c r="A70" s="586"/>
      <c r="B70" s="96">
        <f t="shared" ref="B70:B84" si="24">B69+1</f>
        <v>3</v>
      </c>
      <c r="C70" s="632" t="s">
        <v>861</v>
      </c>
      <c r="D70" s="481">
        <f>'F5'!D70</f>
        <v>0</v>
      </c>
      <c r="E70" s="481">
        <f>'F5'!E70</f>
        <v>0</v>
      </c>
      <c r="F70" s="481">
        <f>'F5'!F70</f>
        <v>0</v>
      </c>
      <c r="G70" s="481">
        <f>'F5'!G70</f>
        <v>0</v>
      </c>
      <c r="H70" s="481">
        <f t="shared" si="18"/>
        <v>0</v>
      </c>
      <c r="I70" s="483">
        <f t="shared" si="22"/>
        <v>0</v>
      </c>
      <c r="J70" s="481">
        <f>'F5'!J70</f>
        <v>0</v>
      </c>
      <c r="K70" s="481">
        <f>'F5'!K70</f>
        <v>0</v>
      </c>
      <c r="L70" s="481">
        <f>'F5'!L70</f>
        <v>0</v>
      </c>
      <c r="M70" s="483">
        <f t="shared" si="19"/>
        <v>0</v>
      </c>
      <c r="N70" s="481">
        <f t="shared" si="23"/>
        <v>0</v>
      </c>
      <c r="O70" s="481">
        <f>'F5'!O70</f>
        <v>0</v>
      </c>
      <c r="P70" s="481">
        <f>'F5'!P70</f>
        <v>0</v>
      </c>
      <c r="Q70" s="481">
        <f>'F5'!Q70</f>
        <v>0</v>
      </c>
      <c r="R70" s="481">
        <f t="shared" si="20"/>
        <v>0</v>
      </c>
      <c r="S70" s="483">
        <f>'F5'!S70+'F5.1 (N)'!D46</f>
        <v>0</v>
      </c>
      <c r="T70" s="483">
        <f>'F5'!T70+'F5.1 (N)'!E46</f>
        <v>8.7916666666666664E-3</v>
      </c>
      <c r="U70" s="483">
        <f>'F5'!U70+'F5.1 (N)'!F46</f>
        <v>0</v>
      </c>
      <c r="V70" s="483">
        <f>'F5'!V70+'F5.1 (N)'!G46</f>
        <v>0</v>
      </c>
      <c r="W70" s="483">
        <f t="shared" si="21"/>
        <v>8.7916666666666664E-3</v>
      </c>
      <c r="Y70" s="586"/>
    </row>
    <row r="71" spans="1:25" x14ac:dyDescent="0.3">
      <c r="A71" s="586"/>
      <c r="B71" s="96">
        <f t="shared" si="24"/>
        <v>4</v>
      </c>
      <c r="C71" s="632" t="s">
        <v>862</v>
      </c>
      <c r="D71" s="481">
        <f>'F5'!D71</f>
        <v>0.82492958489910284</v>
      </c>
      <c r="E71" s="481">
        <f>'F5'!E71</f>
        <v>2.0955968180959062E-2</v>
      </c>
      <c r="F71" s="481">
        <f>'F5'!F71</f>
        <v>0</v>
      </c>
      <c r="G71" s="481">
        <f>'F5'!G71</f>
        <v>0</v>
      </c>
      <c r="H71" s="481">
        <f t="shared" si="18"/>
        <v>0.84588555308006186</v>
      </c>
      <c r="I71" s="483">
        <f t="shared" si="22"/>
        <v>0.84588555308006186</v>
      </c>
      <c r="J71" s="481">
        <f>'F5'!J71</f>
        <v>1.1934338960548027E-2</v>
      </c>
      <c r="K71" s="481">
        <f>'F5'!K71</f>
        <v>0</v>
      </c>
      <c r="L71" s="481">
        <f>'F5'!L71</f>
        <v>0</v>
      </c>
      <c r="M71" s="483">
        <f t="shared" si="19"/>
        <v>0.85781989204060993</v>
      </c>
      <c r="N71" s="481">
        <f t="shared" si="23"/>
        <v>0.85781989204060993</v>
      </c>
      <c r="O71" s="481">
        <f>'F5'!O71</f>
        <v>1.1934338960548019E-2</v>
      </c>
      <c r="P71" s="481">
        <f>'F5'!P71</f>
        <v>0</v>
      </c>
      <c r="Q71" s="481">
        <f>'F5'!Q71</f>
        <v>0</v>
      </c>
      <c r="R71" s="481">
        <f t="shared" si="20"/>
        <v>0.8697542310011579</v>
      </c>
      <c r="S71" s="483">
        <f>'F5'!S71+'F5.1 (N)'!D47</f>
        <v>0.8697542310011579</v>
      </c>
      <c r="T71" s="483">
        <f>'F5'!T71+'F5.1 (N)'!E47</f>
        <v>1.1934338960548029E-2</v>
      </c>
      <c r="U71" s="483">
        <f>'F5'!U71+'F5.1 (N)'!F47</f>
        <v>0</v>
      </c>
      <c r="V71" s="483">
        <f>'F5'!V71+'F5.1 (N)'!G47</f>
        <v>0</v>
      </c>
      <c r="W71" s="483">
        <f t="shared" si="21"/>
        <v>0.88168856996170597</v>
      </c>
      <c r="Y71" s="586"/>
    </row>
    <row r="72" spans="1:25" x14ac:dyDescent="0.3">
      <c r="A72" s="586"/>
      <c r="B72" s="96">
        <f t="shared" si="24"/>
        <v>5</v>
      </c>
      <c r="C72" s="632" t="s">
        <v>863</v>
      </c>
      <c r="D72" s="481">
        <f>'F5'!D72</f>
        <v>1.6783500363013915</v>
      </c>
      <c r="E72" s="481">
        <f>'F5'!E72</f>
        <v>0.37790864068415531</v>
      </c>
      <c r="F72" s="481">
        <f>'F5'!F72</f>
        <v>0.32532259709144284</v>
      </c>
      <c r="G72" s="481">
        <f>'F5'!G72</f>
        <v>0</v>
      </c>
      <c r="H72" s="481">
        <f t="shared" si="18"/>
        <v>1.730936079894104</v>
      </c>
      <c r="I72" s="483">
        <f t="shared" si="22"/>
        <v>1.730936079894104</v>
      </c>
      <c r="J72" s="481">
        <f>'F5'!J72</f>
        <v>0.39116248042075524</v>
      </c>
      <c r="K72" s="481">
        <f>'F5'!K72</f>
        <v>1.779074610047366E-2</v>
      </c>
      <c r="L72" s="481">
        <f>'F5'!L72</f>
        <v>0</v>
      </c>
      <c r="M72" s="483">
        <f t="shared" si="19"/>
        <v>2.1043078142143856</v>
      </c>
      <c r="N72" s="481">
        <f t="shared" si="23"/>
        <v>2.1043078142143856</v>
      </c>
      <c r="O72" s="481">
        <f>'F5'!O72</f>
        <v>0.39160124286075526</v>
      </c>
      <c r="P72" s="481">
        <f>'F5'!P72</f>
        <v>0</v>
      </c>
      <c r="Q72" s="481">
        <f>'F5'!Q72</f>
        <v>0</v>
      </c>
      <c r="R72" s="481">
        <f t="shared" si="20"/>
        <v>2.4959090570751408</v>
      </c>
      <c r="S72" s="483">
        <f>'F5'!S72+'F5.1 (N)'!D48</f>
        <v>2.4959090570751408</v>
      </c>
      <c r="T72" s="483">
        <f>'F5'!T72+'F5.1 (N)'!E48</f>
        <v>0.61181857619408864</v>
      </c>
      <c r="U72" s="483">
        <f>'F5'!U72+'F5.1 (N)'!F48</f>
        <v>0</v>
      </c>
      <c r="V72" s="483">
        <f>'F5'!V72+'F5.1 (N)'!G48</f>
        <v>0</v>
      </c>
      <c r="W72" s="483">
        <f t="shared" si="21"/>
        <v>3.1077276332692296</v>
      </c>
      <c r="Y72" s="586"/>
    </row>
    <row r="73" spans="1:25" x14ac:dyDescent="0.3">
      <c r="A73" s="586"/>
      <c r="B73" s="96">
        <f t="shared" si="24"/>
        <v>6</v>
      </c>
      <c r="C73" s="632" t="s">
        <v>254</v>
      </c>
      <c r="D73" s="481">
        <f>'F5'!D73</f>
        <v>6.4084459262377749</v>
      </c>
      <c r="E73" s="481">
        <f>'F5'!E73</f>
        <v>0.55280786938375959</v>
      </c>
      <c r="F73" s="481">
        <f>'F5'!F73</f>
        <v>0</v>
      </c>
      <c r="G73" s="481">
        <f>'F5'!G73</f>
        <v>0</v>
      </c>
      <c r="H73" s="481">
        <f t="shared" si="18"/>
        <v>6.9612537956215341</v>
      </c>
      <c r="I73" s="483">
        <f t="shared" si="22"/>
        <v>6.9612537956215341</v>
      </c>
      <c r="J73" s="481">
        <f>'F5'!J73</f>
        <v>0.77464454332615962</v>
      </c>
      <c r="K73" s="481">
        <f>'F5'!K73</f>
        <v>0</v>
      </c>
      <c r="L73" s="481">
        <f>'F5'!L73</f>
        <v>0</v>
      </c>
      <c r="M73" s="483">
        <f t="shared" si="19"/>
        <v>7.7358983389476936</v>
      </c>
      <c r="N73" s="481">
        <f t="shared" si="23"/>
        <v>7.7358983389476936</v>
      </c>
      <c r="O73" s="481">
        <f>'F5'!O73</f>
        <v>2.1357077853965598</v>
      </c>
      <c r="P73" s="481">
        <f>'F5'!P73</f>
        <v>0</v>
      </c>
      <c r="Q73" s="481">
        <f>'F5'!Q73</f>
        <v>0</v>
      </c>
      <c r="R73" s="481">
        <f t="shared" si="20"/>
        <v>9.8716061243442539</v>
      </c>
      <c r="S73" s="483">
        <f>'F5'!S73+'F5.1 (N)'!D49</f>
        <v>9.8716061243442539</v>
      </c>
      <c r="T73" s="483">
        <f>'F5'!T73+'F5.1 (N)'!E49</f>
        <v>4.029613527729893</v>
      </c>
      <c r="U73" s="483">
        <f>'F5'!U73+'F5.1 (N)'!F49</f>
        <v>0</v>
      </c>
      <c r="V73" s="483">
        <f>'F5'!V73+'F5.1 (N)'!G49</f>
        <v>0</v>
      </c>
      <c r="W73" s="483">
        <f t="shared" si="21"/>
        <v>13.901219652074147</v>
      </c>
      <c r="Y73" s="586"/>
    </row>
    <row r="74" spans="1:25" x14ac:dyDescent="0.3">
      <c r="A74" s="586"/>
      <c r="B74" s="96">
        <f t="shared" si="24"/>
        <v>7</v>
      </c>
      <c r="C74" s="632" t="s">
        <v>864</v>
      </c>
      <c r="D74" s="481">
        <f>'F5'!D74</f>
        <v>0.29377141054929945</v>
      </c>
      <c r="E74" s="481">
        <f>'F5'!E74</f>
        <v>0.10816580351643314</v>
      </c>
      <c r="F74" s="481">
        <f>'F5'!F74</f>
        <v>0</v>
      </c>
      <c r="G74" s="481">
        <f>'F5'!G74</f>
        <v>0</v>
      </c>
      <c r="H74" s="481">
        <f t="shared" si="18"/>
        <v>0.40193721406573257</v>
      </c>
      <c r="I74" s="483">
        <f t="shared" si="22"/>
        <v>0.40193721406573257</v>
      </c>
      <c r="J74" s="481">
        <f>'F5'!J74</f>
        <v>0.17120037791643314</v>
      </c>
      <c r="K74" s="481">
        <f>'F5'!K74</f>
        <v>2.8305234915465854E-2</v>
      </c>
      <c r="L74" s="481">
        <f>'F5'!L74</f>
        <v>0</v>
      </c>
      <c r="M74" s="483">
        <f t="shared" si="19"/>
        <v>0.54483235706669986</v>
      </c>
      <c r="N74" s="481">
        <f t="shared" si="23"/>
        <v>0.54483235706669986</v>
      </c>
      <c r="O74" s="481">
        <f>'F5'!O74</f>
        <v>0.21565443431643314</v>
      </c>
      <c r="P74" s="481">
        <f>'F5'!P74</f>
        <v>0</v>
      </c>
      <c r="Q74" s="481">
        <f>'F5'!Q74</f>
        <v>0</v>
      </c>
      <c r="R74" s="481">
        <f t="shared" si="20"/>
        <v>0.76048679138313302</v>
      </c>
      <c r="S74" s="483">
        <f>'F5'!S74+'F5.1 (N)'!D50</f>
        <v>0.76048679138313302</v>
      </c>
      <c r="T74" s="483">
        <f>'F5'!T74+'F5.1 (N)'!E50</f>
        <v>8.3348742706473203E-2</v>
      </c>
      <c r="U74" s="483">
        <f>'F5'!U74+'F5.1 (N)'!F50</f>
        <v>0</v>
      </c>
      <c r="V74" s="483">
        <f>'F5'!V74+'F5.1 (N)'!G50</f>
        <v>0</v>
      </c>
      <c r="W74" s="483">
        <f t="shared" si="21"/>
        <v>0.84383553408960621</v>
      </c>
      <c r="Y74" s="586"/>
    </row>
    <row r="75" spans="1:25" x14ac:dyDescent="0.3">
      <c r="A75" s="586"/>
      <c r="B75" s="96">
        <f t="shared" si="24"/>
        <v>8</v>
      </c>
      <c r="C75" s="632" t="s">
        <v>865</v>
      </c>
      <c r="D75" s="481">
        <f>'F5'!D75</f>
        <v>0</v>
      </c>
      <c r="E75" s="481">
        <f>'F5'!E75</f>
        <v>0</v>
      </c>
      <c r="F75" s="481">
        <f>'F5'!F75</f>
        <v>0</v>
      </c>
      <c r="G75" s="481">
        <f>'F5'!G75</f>
        <v>0</v>
      </c>
      <c r="H75" s="481">
        <f t="shared" si="18"/>
        <v>0</v>
      </c>
      <c r="I75" s="483">
        <f t="shared" si="22"/>
        <v>0</v>
      </c>
      <c r="J75" s="481">
        <f>'F5'!J75</f>
        <v>0</v>
      </c>
      <c r="K75" s="481">
        <f>'F5'!K75</f>
        <v>0</v>
      </c>
      <c r="L75" s="481">
        <f>'F5'!L75</f>
        <v>0</v>
      </c>
      <c r="M75" s="483">
        <f t="shared" si="19"/>
        <v>0</v>
      </c>
      <c r="N75" s="481">
        <f t="shared" si="23"/>
        <v>0</v>
      </c>
      <c r="O75" s="481">
        <f>'F5'!O75</f>
        <v>0</v>
      </c>
      <c r="P75" s="481">
        <f>'F5'!P75</f>
        <v>0</v>
      </c>
      <c r="Q75" s="481">
        <f>'F5'!Q75</f>
        <v>0</v>
      </c>
      <c r="R75" s="481">
        <f t="shared" si="20"/>
        <v>0</v>
      </c>
      <c r="S75" s="483">
        <f>'F5'!S75+'F5.1 (N)'!D51</f>
        <v>0</v>
      </c>
      <c r="T75" s="483">
        <f>'F5'!T75+'F5.1 (N)'!E51</f>
        <v>0</v>
      </c>
      <c r="U75" s="483">
        <f>'F5'!U75+'F5.1 (N)'!F51</f>
        <v>0</v>
      </c>
      <c r="V75" s="483">
        <f>'F5'!V75+'F5.1 (N)'!G51</f>
        <v>0</v>
      </c>
      <c r="W75" s="483">
        <f t="shared" si="21"/>
        <v>0</v>
      </c>
      <c r="Y75" s="586"/>
    </row>
    <row r="76" spans="1:25" x14ac:dyDescent="0.3">
      <c r="A76" s="586"/>
      <c r="B76" s="96">
        <f t="shared" si="24"/>
        <v>9</v>
      </c>
      <c r="C76" s="632" t="s">
        <v>866</v>
      </c>
      <c r="D76" s="481">
        <f>'F5'!D76</f>
        <v>2.0910067341116303</v>
      </c>
      <c r="E76" s="481">
        <f>'F5'!E76</f>
        <v>2.7484987195102662E-2</v>
      </c>
      <c r="F76" s="481">
        <f>'F5'!F76</f>
        <v>0</v>
      </c>
      <c r="G76" s="481">
        <f>'F5'!G76</f>
        <v>0</v>
      </c>
      <c r="H76" s="481">
        <f t="shared" si="18"/>
        <v>2.1184917213067331</v>
      </c>
      <c r="I76" s="483">
        <f t="shared" si="22"/>
        <v>2.1184917213067331</v>
      </c>
      <c r="J76" s="481">
        <f>'F5'!J76</f>
        <v>1.5705706968630068E-2</v>
      </c>
      <c r="K76" s="481">
        <f>'F5'!K76</f>
        <v>0</v>
      </c>
      <c r="L76" s="481">
        <f>'F5'!L76</f>
        <v>0</v>
      </c>
      <c r="M76" s="483">
        <f t="shared" si="19"/>
        <v>2.1341974282753631</v>
      </c>
      <c r="N76" s="481">
        <f t="shared" si="23"/>
        <v>2.1341974282753631</v>
      </c>
      <c r="O76" s="481">
        <f>'F5'!O76</f>
        <v>1.5705706968630089E-2</v>
      </c>
      <c r="P76" s="481">
        <f>'F5'!P76</f>
        <v>0</v>
      </c>
      <c r="Q76" s="481">
        <f>'F5'!Q76</f>
        <v>0</v>
      </c>
      <c r="R76" s="481">
        <f t="shared" si="20"/>
        <v>2.149903135243993</v>
      </c>
      <c r="S76" s="483">
        <f>'F5'!S76+'F5.1 (N)'!D52</f>
        <v>2.149903135243993</v>
      </c>
      <c r="T76" s="483">
        <f>'F5'!T76+'F5.1 (N)'!E52</f>
        <v>1.5705706968630117E-2</v>
      </c>
      <c r="U76" s="483">
        <f>'F5'!U76+'F5.1 (N)'!F52</f>
        <v>0</v>
      </c>
      <c r="V76" s="483">
        <f>'F5'!V76+'F5.1 (N)'!G52</f>
        <v>0</v>
      </c>
      <c r="W76" s="483">
        <f t="shared" si="21"/>
        <v>2.165608842212623</v>
      </c>
      <c r="Y76" s="586"/>
    </row>
    <row r="77" spans="1:25" x14ac:dyDescent="0.3">
      <c r="A77" s="586"/>
      <c r="B77" s="96">
        <f t="shared" si="24"/>
        <v>10</v>
      </c>
      <c r="C77" s="632" t="s">
        <v>258</v>
      </c>
      <c r="D77" s="481">
        <f>'F5'!D77</f>
        <v>1.2301755279053566</v>
      </c>
      <c r="E77" s="481">
        <f>'F5'!E77</f>
        <v>1.9102489764270203E-2</v>
      </c>
      <c r="F77" s="481">
        <f>'F5'!F77</f>
        <v>0</v>
      </c>
      <c r="G77" s="481">
        <f>'F5'!G77</f>
        <v>0</v>
      </c>
      <c r="H77" s="481">
        <f t="shared" si="18"/>
        <v>1.2492780176696268</v>
      </c>
      <c r="I77" s="483">
        <f t="shared" si="22"/>
        <v>1.2492780176696268</v>
      </c>
      <c r="J77" s="481">
        <f>'F5'!J77</f>
        <v>1.0915708436725831E-2</v>
      </c>
      <c r="K77" s="481">
        <f>'F5'!K77</f>
        <v>0</v>
      </c>
      <c r="L77" s="481">
        <f>'F5'!L77</f>
        <v>0</v>
      </c>
      <c r="M77" s="483">
        <f t="shared" si="19"/>
        <v>1.2601937261063525</v>
      </c>
      <c r="N77" s="481">
        <f t="shared" si="23"/>
        <v>1.2601937261063525</v>
      </c>
      <c r="O77" s="481">
        <f>'F5'!O77</f>
        <v>1.0915708436725846E-2</v>
      </c>
      <c r="P77" s="481">
        <f>'F5'!P77</f>
        <v>0</v>
      </c>
      <c r="Q77" s="481">
        <f>'F5'!Q77</f>
        <v>0</v>
      </c>
      <c r="R77" s="481">
        <f t="shared" si="20"/>
        <v>1.2711094345430785</v>
      </c>
      <c r="S77" s="483">
        <f>'F5'!S77+'F5.1 (N)'!D53</f>
        <v>1.2711094345430785</v>
      </c>
      <c r="T77" s="483">
        <f>'F5'!T77+'F5.1 (N)'!E53</f>
        <v>1.0915708436725824E-2</v>
      </c>
      <c r="U77" s="483">
        <f>'F5'!U77+'F5.1 (N)'!F53</f>
        <v>0</v>
      </c>
      <c r="V77" s="483">
        <f>'F5'!V77+'F5.1 (N)'!G53</f>
        <v>0</v>
      </c>
      <c r="W77" s="483">
        <f t="shared" si="21"/>
        <v>1.2820251429798042</v>
      </c>
      <c r="Y77" s="586"/>
    </row>
    <row r="78" spans="1:25" x14ac:dyDescent="0.3">
      <c r="A78" s="586"/>
      <c r="B78" s="96">
        <f t="shared" si="24"/>
        <v>11</v>
      </c>
      <c r="C78" s="632" t="s">
        <v>259</v>
      </c>
      <c r="D78" s="481">
        <f>'F5'!D78</f>
        <v>1.3460476286377856</v>
      </c>
      <c r="E78" s="481">
        <f>'F5'!E78</f>
        <v>0.18368003701012819</v>
      </c>
      <c r="F78" s="481">
        <f>'F5'!F78</f>
        <v>-4.8906682286409362E-4</v>
      </c>
      <c r="G78" s="481">
        <f>'F5'!G78</f>
        <v>0</v>
      </c>
      <c r="H78" s="481">
        <f t="shared" si="18"/>
        <v>1.5302167324707778</v>
      </c>
      <c r="I78" s="483">
        <f t="shared" si="22"/>
        <v>1.5302167324707778</v>
      </c>
      <c r="J78" s="481">
        <f>'F5'!J78</f>
        <v>0.18751967654137822</v>
      </c>
      <c r="K78" s="481">
        <f>'F5'!K78</f>
        <v>0</v>
      </c>
      <c r="L78" s="481">
        <f>'F5'!L78</f>
        <v>0</v>
      </c>
      <c r="M78" s="483">
        <f t="shared" si="19"/>
        <v>1.7177364090121561</v>
      </c>
      <c r="N78" s="481">
        <f t="shared" si="23"/>
        <v>1.7177364090121561</v>
      </c>
      <c r="O78" s="481">
        <f>'F5'!O78</f>
        <v>0.19087068476242822</v>
      </c>
      <c r="P78" s="481">
        <f>'F5'!P78</f>
        <v>0</v>
      </c>
      <c r="Q78" s="481">
        <f>'F5'!Q78</f>
        <v>0</v>
      </c>
      <c r="R78" s="481">
        <f t="shared" si="20"/>
        <v>1.9086070937745843</v>
      </c>
      <c r="S78" s="483">
        <f>'F5'!S78+'F5.1 (N)'!D54</f>
        <v>1.9086070937745843</v>
      </c>
      <c r="T78" s="483">
        <f>'F5'!T78+'F5.1 (N)'!E54</f>
        <v>0.16218869827568469</v>
      </c>
      <c r="U78" s="483">
        <f>'F5'!U78+'F5.1 (N)'!F54</f>
        <v>0</v>
      </c>
      <c r="V78" s="483">
        <f>'F5'!V78+'F5.1 (N)'!G54</f>
        <v>0</v>
      </c>
      <c r="W78" s="483">
        <f t="shared" si="21"/>
        <v>2.0707957920502689</v>
      </c>
      <c r="Y78" s="586"/>
    </row>
    <row r="79" spans="1:25" x14ac:dyDescent="0.3">
      <c r="A79" s="586"/>
      <c r="B79" s="96">
        <f t="shared" si="24"/>
        <v>12</v>
      </c>
      <c r="C79" s="632" t="s">
        <v>260</v>
      </c>
      <c r="D79" s="481">
        <f>'F5'!D79</f>
        <v>1.0840301951061084</v>
      </c>
      <c r="E79" s="481">
        <f>'F5'!E79</f>
        <v>0.15346952391313015</v>
      </c>
      <c r="F79" s="481">
        <f>'F5'!F79</f>
        <v>4.6893744480541548E-4</v>
      </c>
      <c r="G79" s="481">
        <f>'F5'!G79</f>
        <v>0</v>
      </c>
      <c r="H79" s="481">
        <f t="shared" si="18"/>
        <v>1.237030781574433</v>
      </c>
      <c r="I79" s="483">
        <f t="shared" si="22"/>
        <v>1.237030781574433</v>
      </c>
      <c r="J79" s="481">
        <f>'F5'!J79</f>
        <v>0.15804215104828015</v>
      </c>
      <c r="K79" s="481">
        <f>'F5'!K79</f>
        <v>0</v>
      </c>
      <c r="L79" s="481">
        <f>'F5'!L79</f>
        <v>0</v>
      </c>
      <c r="M79" s="483">
        <f t="shared" si="19"/>
        <v>1.3950729326227131</v>
      </c>
      <c r="N79" s="481">
        <f t="shared" si="23"/>
        <v>1.3950729326227131</v>
      </c>
      <c r="O79" s="481">
        <f>'F5'!O79</f>
        <v>0.16330654229533015</v>
      </c>
      <c r="P79" s="481">
        <f>'F5'!P79</f>
        <v>0</v>
      </c>
      <c r="Q79" s="481">
        <f>'F5'!Q79</f>
        <v>0</v>
      </c>
      <c r="R79" s="481">
        <f t="shared" si="20"/>
        <v>1.5583794749180433</v>
      </c>
      <c r="S79" s="483">
        <f>'F5'!S79+'F5.1 (N)'!D55</f>
        <v>1.5583794749180433</v>
      </c>
      <c r="T79" s="483">
        <f>'F5'!T79+'F5.1 (N)'!E55</f>
        <v>0.16382040853033014</v>
      </c>
      <c r="U79" s="483">
        <f>'F5'!U79+'F5.1 (N)'!F55</f>
        <v>0</v>
      </c>
      <c r="V79" s="483">
        <f>'F5'!V79+'F5.1 (N)'!G55</f>
        <v>0</v>
      </c>
      <c r="W79" s="483">
        <f t="shared" si="21"/>
        <v>1.7221998834483734</v>
      </c>
      <c r="Y79" s="586"/>
    </row>
    <row r="80" spans="1:25" x14ac:dyDescent="0.3">
      <c r="A80" s="586"/>
      <c r="B80" s="96">
        <f t="shared" si="24"/>
        <v>13</v>
      </c>
      <c r="C80" s="497" t="s">
        <v>874</v>
      </c>
      <c r="D80" s="481">
        <f>'F5'!D80</f>
        <v>0</v>
      </c>
      <c r="E80" s="481">
        <f>'F5'!E80</f>
        <v>0</v>
      </c>
      <c r="F80" s="481">
        <f>'F5'!F80</f>
        <v>0</v>
      </c>
      <c r="G80" s="481">
        <f>'F5'!G80</f>
        <v>0</v>
      </c>
      <c r="H80" s="481">
        <f t="shared" si="18"/>
        <v>0</v>
      </c>
      <c r="I80" s="483">
        <f t="shared" si="22"/>
        <v>0</v>
      </c>
      <c r="J80" s="481">
        <f>'F5'!J80</f>
        <v>0</v>
      </c>
      <c r="K80" s="481">
        <f>'F5'!K80</f>
        <v>0</v>
      </c>
      <c r="L80" s="481">
        <f>'F5'!L80</f>
        <v>0</v>
      </c>
      <c r="M80" s="483">
        <f t="shared" si="19"/>
        <v>0</v>
      </c>
      <c r="N80" s="481">
        <f t="shared" si="23"/>
        <v>0</v>
      </c>
      <c r="O80" s="481">
        <f>'F5'!O80</f>
        <v>0</v>
      </c>
      <c r="P80" s="481">
        <f>'F5'!P80</f>
        <v>0</v>
      </c>
      <c r="Q80" s="481">
        <f>'F5'!Q80</f>
        <v>0</v>
      </c>
      <c r="R80" s="481">
        <f t="shared" si="20"/>
        <v>0</v>
      </c>
      <c r="S80" s="483">
        <f>'F5'!S80+'F5.1 (N)'!D56</f>
        <v>0</v>
      </c>
      <c r="T80" s="483">
        <f>'F5'!T80+'F5.1 (N)'!E56</f>
        <v>0</v>
      </c>
      <c r="U80" s="483">
        <f>'F5'!U80+'F5.1 (N)'!F56</f>
        <v>0</v>
      </c>
      <c r="V80" s="483">
        <f>'F5'!V80+'F5.1 (N)'!G56</f>
        <v>0</v>
      </c>
      <c r="W80" s="483">
        <f t="shared" si="21"/>
        <v>0</v>
      </c>
      <c r="Y80" s="586"/>
    </row>
    <row r="81" spans="1:33" x14ac:dyDescent="0.3">
      <c r="A81" s="586"/>
      <c r="B81" s="96">
        <f t="shared" si="24"/>
        <v>14</v>
      </c>
      <c r="C81" s="497" t="s">
        <v>875</v>
      </c>
      <c r="D81" s="481">
        <f>'F5'!D81</f>
        <v>0</v>
      </c>
      <c r="E81" s="481">
        <f>'F5'!E81</f>
        <v>0</v>
      </c>
      <c r="F81" s="481">
        <f>'F5'!F81</f>
        <v>0</v>
      </c>
      <c r="G81" s="481">
        <f>'F5'!G81</f>
        <v>0</v>
      </c>
      <c r="H81" s="481">
        <f t="shared" si="18"/>
        <v>0</v>
      </c>
      <c r="I81" s="483">
        <f t="shared" si="22"/>
        <v>0</v>
      </c>
      <c r="J81" s="481">
        <f>'F5'!J81</f>
        <v>0</v>
      </c>
      <c r="K81" s="481">
        <f>'F5'!K81</f>
        <v>0</v>
      </c>
      <c r="L81" s="481">
        <f>'F5'!L81</f>
        <v>0</v>
      </c>
      <c r="M81" s="483">
        <f t="shared" si="19"/>
        <v>0</v>
      </c>
      <c r="N81" s="481">
        <f t="shared" si="23"/>
        <v>0</v>
      </c>
      <c r="O81" s="481">
        <f>'F5'!O81</f>
        <v>0</v>
      </c>
      <c r="P81" s="481">
        <f>'F5'!P81</f>
        <v>0</v>
      </c>
      <c r="Q81" s="481">
        <f>'F5'!Q81</f>
        <v>0</v>
      </c>
      <c r="R81" s="481">
        <f t="shared" si="20"/>
        <v>0</v>
      </c>
      <c r="S81" s="483">
        <f>'F5'!S81+'F5.1 (N)'!D57</f>
        <v>0</v>
      </c>
      <c r="T81" s="483">
        <f>'F5'!T81+'F5.1 (N)'!E57</f>
        <v>0</v>
      </c>
      <c r="U81" s="483">
        <f>'F5'!U81+'F5.1 (N)'!F57</f>
        <v>0</v>
      </c>
      <c r="V81" s="483">
        <f>'F5'!V81+'F5.1 (N)'!G57</f>
        <v>0</v>
      </c>
      <c r="W81" s="483">
        <f t="shared" si="21"/>
        <v>0</v>
      </c>
      <c r="Y81" s="586"/>
    </row>
    <row r="82" spans="1:33" x14ac:dyDescent="0.3">
      <c r="A82" s="586"/>
      <c r="B82" s="96">
        <f t="shared" si="24"/>
        <v>15</v>
      </c>
      <c r="C82" s="497" t="s">
        <v>876</v>
      </c>
      <c r="D82" s="481">
        <f>'F5'!D82</f>
        <v>0</v>
      </c>
      <c r="E82" s="481">
        <f>'F5'!E82</f>
        <v>0</v>
      </c>
      <c r="F82" s="481">
        <f>'F5'!F82</f>
        <v>0</v>
      </c>
      <c r="G82" s="481">
        <f>'F5'!G82</f>
        <v>0</v>
      </c>
      <c r="H82" s="481">
        <f t="shared" si="18"/>
        <v>0</v>
      </c>
      <c r="I82" s="483">
        <f t="shared" si="22"/>
        <v>0</v>
      </c>
      <c r="J82" s="481">
        <f>'F5'!J82</f>
        <v>0</v>
      </c>
      <c r="K82" s="481">
        <f>'F5'!K82</f>
        <v>0</v>
      </c>
      <c r="L82" s="481">
        <f>'F5'!L82</f>
        <v>0</v>
      </c>
      <c r="M82" s="483">
        <f t="shared" si="19"/>
        <v>0</v>
      </c>
      <c r="N82" s="481">
        <f t="shared" si="23"/>
        <v>0</v>
      </c>
      <c r="O82" s="481">
        <f>'F5'!O82</f>
        <v>0</v>
      </c>
      <c r="P82" s="481">
        <f>'F5'!P82</f>
        <v>0</v>
      </c>
      <c r="Q82" s="481">
        <f>'F5'!Q82</f>
        <v>0</v>
      </c>
      <c r="R82" s="481">
        <f t="shared" si="20"/>
        <v>0</v>
      </c>
      <c r="S82" s="483">
        <f>'F5'!S82+'F5.1 (N)'!D58</f>
        <v>0</v>
      </c>
      <c r="T82" s="483">
        <f>'F5'!T82+'F5.1 (N)'!E58</f>
        <v>0</v>
      </c>
      <c r="U82" s="483">
        <f>'F5'!U82+'F5.1 (N)'!F58</f>
        <v>0</v>
      </c>
      <c r="V82" s="483">
        <f>'F5'!V82+'F5.1 (N)'!G58</f>
        <v>0</v>
      </c>
      <c r="W82" s="483">
        <f t="shared" si="21"/>
        <v>0</v>
      </c>
      <c r="Y82" s="586"/>
    </row>
    <row r="83" spans="1:33" x14ac:dyDescent="0.3">
      <c r="A83" s="586"/>
      <c r="B83" s="96">
        <f t="shared" si="24"/>
        <v>16</v>
      </c>
      <c r="C83" s="497" t="s">
        <v>867</v>
      </c>
      <c r="D83" s="481">
        <f>'F5'!D83</f>
        <v>1.2816173505160962</v>
      </c>
      <c r="E83" s="481">
        <f>'F5'!E83</f>
        <v>2.8480385567024369E-2</v>
      </c>
      <c r="F83" s="481">
        <f>'F5'!F83</f>
        <v>0</v>
      </c>
      <c r="G83" s="481">
        <f>'F5'!G83</f>
        <v>0</v>
      </c>
      <c r="H83" s="481">
        <f t="shared" si="18"/>
        <v>1.3100977360831205</v>
      </c>
      <c r="I83" s="483">
        <f t="shared" si="22"/>
        <v>1.3100977360831205</v>
      </c>
      <c r="J83" s="481">
        <f>'F5'!J83</f>
        <v>1.6274506038299639E-2</v>
      </c>
      <c r="K83" s="481">
        <f>'F5'!K83</f>
        <v>0</v>
      </c>
      <c r="L83" s="481">
        <f>'F5'!L83</f>
        <v>0</v>
      </c>
      <c r="M83" s="483">
        <f t="shared" si="19"/>
        <v>1.3263722421214201</v>
      </c>
      <c r="N83" s="481">
        <f t="shared" si="23"/>
        <v>1.3263722421214201</v>
      </c>
      <c r="O83" s="481">
        <f>'F5'!O83</f>
        <v>1.6274506038299646E-2</v>
      </c>
      <c r="P83" s="481">
        <f>'F5'!P83</f>
        <v>0</v>
      </c>
      <c r="Q83" s="481">
        <f>'F5'!Q83</f>
        <v>0</v>
      </c>
      <c r="R83" s="481">
        <f t="shared" si="20"/>
        <v>1.3426467481597197</v>
      </c>
      <c r="S83" s="483">
        <f>'F5'!S83+'F5.1 (N)'!D59</f>
        <v>1.3426467481597197</v>
      </c>
      <c r="T83" s="483">
        <f>'F5'!T83+'F5.1 (N)'!E59</f>
        <v>1.6274506038299653E-2</v>
      </c>
      <c r="U83" s="483">
        <f>'F5'!U83+'F5.1 (N)'!F59</f>
        <v>0</v>
      </c>
      <c r="V83" s="483">
        <f>'F5'!V83+'F5.1 (N)'!G59</f>
        <v>0</v>
      </c>
      <c r="W83" s="483">
        <f t="shared" si="21"/>
        <v>1.3589212541980193</v>
      </c>
      <c r="Y83" s="586"/>
    </row>
    <row r="84" spans="1:33" x14ac:dyDescent="0.3">
      <c r="A84" s="586"/>
      <c r="B84" s="96">
        <f t="shared" si="24"/>
        <v>17</v>
      </c>
      <c r="C84" s="497" t="s">
        <v>877</v>
      </c>
      <c r="D84" s="481">
        <f>'F5'!D84</f>
        <v>5.6340226071562869</v>
      </c>
      <c r="E84" s="481">
        <f>'F5'!E84</f>
        <v>0</v>
      </c>
      <c r="F84" s="481">
        <f>'F5'!F84</f>
        <v>0</v>
      </c>
      <c r="G84" s="481">
        <f>'F5'!G84</f>
        <v>0</v>
      </c>
      <c r="H84" s="481">
        <f t="shared" si="18"/>
        <v>5.6340226071562869</v>
      </c>
      <c r="I84" s="483">
        <f t="shared" si="22"/>
        <v>5.6340226071562869</v>
      </c>
      <c r="J84" s="481">
        <f>'F5'!J84</f>
        <v>0</v>
      </c>
      <c r="K84" s="481">
        <f>'F5'!K84</f>
        <v>0</v>
      </c>
      <c r="L84" s="481">
        <f>'F5'!L84</f>
        <v>0</v>
      </c>
      <c r="M84" s="483">
        <f t="shared" si="19"/>
        <v>5.6340226071562869</v>
      </c>
      <c r="N84" s="481">
        <f t="shared" si="23"/>
        <v>5.6340226071562869</v>
      </c>
      <c r="O84" s="481">
        <f>'F5'!O84</f>
        <v>0</v>
      </c>
      <c r="P84" s="481">
        <f>'F5'!P84</f>
        <v>0</v>
      </c>
      <c r="Q84" s="481">
        <f>'F5'!Q84</f>
        <v>0</v>
      </c>
      <c r="R84" s="481">
        <f t="shared" si="20"/>
        <v>5.6340226071562869</v>
      </c>
      <c r="S84" s="483">
        <f>'F5'!S84+'F5.1 (N)'!D60</f>
        <v>5.6340226071562869</v>
      </c>
      <c r="T84" s="483">
        <f>'F5'!T84+'F5.1 (N)'!E60</f>
        <v>1.9483333333333332E-3</v>
      </c>
      <c r="U84" s="483">
        <f>'F5'!U84+'F5.1 (N)'!F60</f>
        <v>0</v>
      </c>
      <c r="V84" s="483">
        <f>'F5'!V84+'F5.1 (N)'!G60</f>
        <v>0</v>
      </c>
      <c r="W84" s="483">
        <f t="shared" si="21"/>
        <v>5.6359709404896199</v>
      </c>
      <c r="Y84" s="586"/>
    </row>
    <row r="85" spans="1:33" ht="16" x14ac:dyDescent="0.3">
      <c r="A85" s="487"/>
      <c r="B85" s="84"/>
      <c r="C85" s="99" t="s">
        <v>271</v>
      </c>
      <c r="D85" s="485">
        <f t="shared" ref="D85:W85" si="25">SUM(D68:D84)</f>
        <v>27.995372949860581</v>
      </c>
      <c r="E85" s="485">
        <f t="shared" si="25"/>
        <v>1.8096577103726583</v>
      </c>
      <c r="F85" s="485">
        <f t="shared" si="25"/>
        <v>1.5256025083381781</v>
      </c>
      <c r="G85" s="485">
        <f t="shared" si="25"/>
        <v>0</v>
      </c>
      <c r="H85" s="485">
        <f t="shared" si="25"/>
        <v>28.279428151895065</v>
      </c>
      <c r="I85" s="485">
        <f t="shared" si="25"/>
        <v>28.279428151895065</v>
      </c>
      <c r="J85" s="485">
        <f t="shared" si="25"/>
        <v>2.0578432270087061</v>
      </c>
      <c r="K85" s="485">
        <f t="shared" si="25"/>
        <v>0.32500204103838048</v>
      </c>
      <c r="L85" s="485">
        <f t="shared" si="25"/>
        <v>0</v>
      </c>
      <c r="M85" s="485">
        <f t="shared" si="25"/>
        <v>30.012269337865387</v>
      </c>
      <c r="N85" s="485">
        <f t="shared" si="25"/>
        <v>30.012269337865387</v>
      </c>
      <c r="O85" s="485">
        <f t="shared" si="25"/>
        <v>3.5038906025318064</v>
      </c>
      <c r="P85" s="485">
        <f t="shared" si="25"/>
        <v>0</v>
      </c>
      <c r="Q85" s="485">
        <f t="shared" si="25"/>
        <v>0</v>
      </c>
      <c r="R85" s="485">
        <f t="shared" si="25"/>
        <v>33.516159940397195</v>
      </c>
      <c r="S85" s="485">
        <f t="shared" si="25"/>
        <v>33.516159940397195</v>
      </c>
      <c r="T85" s="485">
        <f t="shared" si="25"/>
        <v>5.4682798663367684</v>
      </c>
      <c r="U85" s="485">
        <f t="shared" si="25"/>
        <v>0</v>
      </c>
      <c r="V85" s="485">
        <f t="shared" si="25"/>
        <v>0</v>
      </c>
      <c r="W85" s="485">
        <f t="shared" si="25"/>
        <v>38.98443980673396</v>
      </c>
    </row>
    <row r="86" spans="1:33" ht="16" x14ac:dyDescent="0.3">
      <c r="A86" s="487"/>
      <c r="B86" s="302"/>
      <c r="C86" s="304" t="s">
        <v>871</v>
      </c>
      <c r="D86" s="879"/>
      <c r="E86" s="880"/>
      <c r="F86" s="879"/>
      <c r="G86" s="879"/>
      <c r="H86" s="879"/>
      <c r="I86" s="881"/>
      <c r="J86" s="880"/>
      <c r="K86" s="881"/>
      <c r="L86" s="881"/>
      <c r="M86" s="881"/>
      <c r="N86" s="879"/>
      <c r="O86" s="880"/>
      <c r="P86" s="879"/>
      <c r="Q86" s="879"/>
      <c r="R86" s="879"/>
      <c r="S86" s="881"/>
      <c r="T86" s="880"/>
      <c r="U86" s="881"/>
      <c r="V86" s="881"/>
      <c r="W86" s="881"/>
      <c r="X86" s="43"/>
      <c r="Y86" s="43"/>
      <c r="Z86" s="43"/>
      <c r="AA86" s="43"/>
      <c r="AB86" s="43"/>
      <c r="AC86" s="43"/>
      <c r="AD86" s="43"/>
      <c r="AE86" s="43"/>
      <c r="AF86" s="43"/>
      <c r="AG86" s="43"/>
    </row>
    <row r="87" spans="1:33" ht="16" x14ac:dyDescent="0.3">
      <c r="A87" s="487"/>
      <c r="B87" s="882" t="s">
        <v>613</v>
      </c>
      <c r="C87" s="883"/>
      <c r="D87" s="305"/>
      <c r="E87" s="305"/>
      <c r="F87" s="305"/>
      <c r="G87" s="305"/>
      <c r="H87" s="305"/>
      <c r="I87" s="306"/>
      <c r="J87" s="306"/>
      <c r="K87" s="302"/>
      <c r="L87" s="302"/>
      <c r="M87" s="302"/>
      <c r="N87" s="302"/>
      <c r="O87" s="302"/>
      <c r="P87" s="302"/>
      <c r="Q87" s="302"/>
      <c r="R87" s="302"/>
      <c r="S87" s="43"/>
      <c r="T87" s="43"/>
      <c r="U87" s="43"/>
      <c r="V87" s="43"/>
      <c r="W87" s="43"/>
      <c r="X87" s="43"/>
      <c r="Y87" s="43"/>
      <c r="Z87" s="43"/>
      <c r="AA87" s="43"/>
      <c r="AB87" s="43"/>
      <c r="AC87" s="43"/>
      <c r="AD87" s="43"/>
      <c r="AE87" s="43"/>
      <c r="AF87" s="43"/>
      <c r="AG87" s="43"/>
    </row>
    <row r="88" spans="1:33" ht="16" x14ac:dyDescent="0.3">
      <c r="A88" s="487"/>
      <c r="B88" s="882" t="s">
        <v>739</v>
      </c>
      <c r="C88" s="883"/>
      <c r="D88" s="305"/>
      <c r="E88" s="305"/>
      <c r="F88" s="305"/>
      <c r="G88" s="305"/>
      <c r="H88" s="305"/>
      <c r="I88" s="306"/>
      <c r="J88" s="306"/>
      <c r="K88" s="302"/>
      <c r="L88" s="302"/>
      <c r="M88" s="302"/>
      <c r="N88" s="302"/>
      <c r="O88" s="302"/>
      <c r="P88" s="302"/>
      <c r="Q88" s="302"/>
      <c r="R88" s="302"/>
      <c r="S88" s="43"/>
      <c r="T88" s="43"/>
      <c r="U88" s="43"/>
      <c r="V88" s="43"/>
      <c r="W88" s="43"/>
      <c r="X88" s="43"/>
      <c r="Y88" s="43"/>
      <c r="Z88" s="43"/>
      <c r="AA88" s="43"/>
      <c r="AB88" s="43"/>
      <c r="AC88" s="43"/>
      <c r="AD88" s="43"/>
      <c r="AE88" s="43"/>
      <c r="AF88" s="43"/>
      <c r="AG88" s="43"/>
    </row>
    <row r="89" spans="1:33" ht="15" customHeight="1" x14ac:dyDescent="0.3">
      <c r="A89" s="487"/>
      <c r="B89" s="302"/>
      <c r="C89" s="304"/>
      <c r="D89" s="304"/>
      <c r="E89" s="304"/>
      <c r="F89" s="304"/>
      <c r="G89" s="304"/>
      <c r="H89" s="304"/>
      <c r="I89" s="302"/>
      <c r="J89" s="302"/>
      <c r="K89" s="302"/>
      <c r="L89" s="302"/>
      <c r="M89" s="302"/>
      <c r="N89" s="302"/>
      <c r="O89" s="302"/>
      <c r="P89" s="302"/>
      <c r="Q89" s="302"/>
      <c r="R89" s="302"/>
    </row>
    <row r="90" spans="1:33" ht="16" x14ac:dyDescent="0.3">
      <c r="A90" s="487"/>
      <c r="B90" s="302"/>
      <c r="C90" s="304"/>
      <c r="D90" s="8"/>
      <c r="E90" s="8"/>
      <c r="F90" s="8"/>
      <c r="G90" s="8"/>
      <c r="H90" s="8"/>
      <c r="I90" s="1"/>
      <c r="J90" s="42"/>
      <c r="K90" s="1"/>
      <c r="L90" s="1"/>
      <c r="M90" s="42"/>
      <c r="N90" s="42"/>
      <c r="O90" s="1"/>
      <c r="P90" s="1"/>
      <c r="Q90" s="1"/>
      <c r="AG90" s="297" t="s">
        <v>10</v>
      </c>
    </row>
    <row r="91" spans="1:33" ht="13.75" customHeight="1" x14ac:dyDescent="0.3">
      <c r="A91" s="487"/>
      <c r="B91" s="1521" t="s">
        <v>343</v>
      </c>
      <c r="C91" s="1521" t="s">
        <v>37</v>
      </c>
      <c r="D91" s="1656" t="s">
        <v>941</v>
      </c>
      <c r="E91" s="1657"/>
      <c r="F91" s="1657"/>
      <c r="G91" s="1657"/>
      <c r="H91" s="1658"/>
      <c r="I91" s="1656" t="s">
        <v>945</v>
      </c>
      <c r="J91" s="1657"/>
      <c r="K91" s="1657"/>
      <c r="L91" s="1657"/>
      <c r="M91" s="1658"/>
      <c r="N91" s="1648" t="s">
        <v>942</v>
      </c>
      <c r="O91" s="1648"/>
      <c r="P91" s="1648"/>
      <c r="Q91" s="1648"/>
      <c r="R91" s="1648"/>
      <c r="S91" s="1648" t="s">
        <v>944</v>
      </c>
      <c r="T91" s="1648"/>
      <c r="U91" s="1648"/>
      <c r="V91" s="1648"/>
      <c r="W91" s="1648"/>
    </row>
    <row r="92" spans="1:33" x14ac:dyDescent="0.3">
      <c r="A92" s="487"/>
      <c r="B92" s="1521"/>
      <c r="C92" s="1521"/>
      <c r="D92" s="1649" t="s">
        <v>21</v>
      </c>
      <c r="E92" s="1650"/>
      <c r="F92" s="1650"/>
      <c r="G92" s="1650"/>
      <c r="H92" s="1651"/>
      <c r="I92" s="1649" t="s">
        <v>21</v>
      </c>
      <c r="J92" s="1650"/>
      <c r="K92" s="1650"/>
      <c r="L92" s="1650"/>
      <c r="M92" s="1651"/>
      <c r="N92" s="1652" t="s">
        <v>21</v>
      </c>
      <c r="O92" s="1653"/>
      <c r="P92" s="1653"/>
      <c r="Q92" s="1653"/>
      <c r="R92" s="1653"/>
      <c r="S92" s="1652" t="s">
        <v>21</v>
      </c>
      <c r="T92" s="1653"/>
      <c r="U92" s="1653"/>
      <c r="V92" s="1653"/>
      <c r="W92" s="1653"/>
    </row>
    <row r="93" spans="1:33" ht="56" x14ac:dyDescent="0.3">
      <c r="A93" s="487"/>
      <c r="B93" s="1521"/>
      <c r="C93" s="1521"/>
      <c r="D93" s="869" t="s">
        <v>273</v>
      </c>
      <c r="E93" s="869" t="s">
        <v>268</v>
      </c>
      <c r="F93" s="303" t="s">
        <v>274</v>
      </c>
      <c r="G93" s="867" t="s">
        <v>601</v>
      </c>
      <c r="H93" s="869" t="s">
        <v>275</v>
      </c>
      <c r="I93" s="869" t="s">
        <v>267</v>
      </c>
      <c r="J93" s="869" t="s">
        <v>268</v>
      </c>
      <c r="K93" s="869" t="s">
        <v>269</v>
      </c>
      <c r="L93" s="867" t="s">
        <v>601</v>
      </c>
      <c r="M93" s="869" t="s">
        <v>270</v>
      </c>
      <c r="N93" s="869" t="s">
        <v>267</v>
      </c>
      <c r="O93" s="869" t="s">
        <v>268</v>
      </c>
      <c r="P93" s="869" t="s">
        <v>269</v>
      </c>
      <c r="Q93" s="867" t="s">
        <v>601</v>
      </c>
      <c r="R93" s="869" t="s">
        <v>270</v>
      </c>
      <c r="S93" s="869" t="s">
        <v>267</v>
      </c>
      <c r="T93" s="869" t="s">
        <v>268</v>
      </c>
      <c r="U93" s="869" t="s">
        <v>269</v>
      </c>
      <c r="V93" s="867" t="s">
        <v>601</v>
      </c>
      <c r="W93" s="869" t="s">
        <v>270</v>
      </c>
    </row>
    <row r="94" spans="1:33" ht="28" x14ac:dyDescent="0.3">
      <c r="A94" s="487"/>
      <c r="B94" s="298"/>
      <c r="C94" s="298"/>
      <c r="D94" s="298" t="s">
        <v>680</v>
      </c>
      <c r="E94" s="298" t="s">
        <v>681</v>
      </c>
      <c r="F94" s="298" t="s">
        <v>682</v>
      </c>
      <c r="G94" s="298" t="s">
        <v>683</v>
      </c>
      <c r="H94" s="298" t="s">
        <v>684</v>
      </c>
      <c r="I94" s="298" t="s">
        <v>680</v>
      </c>
      <c r="J94" s="298" t="s">
        <v>681</v>
      </c>
      <c r="K94" s="298" t="s">
        <v>682</v>
      </c>
      <c r="L94" s="298" t="s">
        <v>683</v>
      </c>
      <c r="M94" s="298" t="s">
        <v>684</v>
      </c>
      <c r="N94" s="298" t="s">
        <v>680</v>
      </c>
      <c r="O94" s="298" t="s">
        <v>681</v>
      </c>
      <c r="P94" s="298" t="s">
        <v>682</v>
      </c>
      <c r="Q94" s="298" t="s">
        <v>683</v>
      </c>
      <c r="R94" s="298" t="s">
        <v>684</v>
      </c>
      <c r="S94" s="298" t="s">
        <v>680</v>
      </c>
      <c r="T94" s="298" t="s">
        <v>681</v>
      </c>
      <c r="U94" s="298" t="s">
        <v>682</v>
      </c>
      <c r="V94" s="298" t="s">
        <v>683</v>
      </c>
      <c r="W94" s="298" t="s">
        <v>684</v>
      </c>
    </row>
    <row r="95" spans="1:33" x14ac:dyDescent="0.3">
      <c r="A95" s="586"/>
      <c r="B95" s="96">
        <v>1</v>
      </c>
      <c r="C95" s="632" t="s">
        <v>860</v>
      </c>
      <c r="D95" s="483">
        <f t="shared" ref="D95:D111" si="26">W68</f>
        <v>0</v>
      </c>
      <c r="E95" s="481">
        <f>'F5'!E95+'F5.1 (N)'!J44</f>
        <v>0</v>
      </c>
      <c r="F95" s="481">
        <f>'F5'!F95+'F5.1 (N)'!K44</f>
        <v>0</v>
      </c>
      <c r="G95" s="481">
        <f>'F5'!G95+'F5.1 (N)'!L44</f>
        <v>0</v>
      </c>
      <c r="H95" s="483">
        <f>D95+E95-F95-G95</f>
        <v>0</v>
      </c>
      <c r="I95" s="494">
        <f>H95</f>
        <v>0</v>
      </c>
      <c r="J95" s="498">
        <f>'F5'!J95+'F5.1 (N)'!O44</f>
        <v>0</v>
      </c>
      <c r="K95" s="498">
        <f>'F5'!K95+'F5.1 (N)'!P44</f>
        <v>0</v>
      </c>
      <c r="L95" s="498">
        <f>'F5'!L95+'F5.1 (N)'!Q44</f>
        <v>0</v>
      </c>
      <c r="M95" s="494">
        <f>I95+J95-K95-L95</f>
        <v>0</v>
      </c>
      <c r="N95" s="494">
        <f>M95</f>
        <v>0</v>
      </c>
      <c r="O95" s="498">
        <f>'F5'!O95+'F5.1 (N)'!T44</f>
        <v>0</v>
      </c>
      <c r="P95" s="498">
        <f>'F5'!P95+'F5.1 (N)'!U44</f>
        <v>0</v>
      </c>
      <c r="Q95" s="498">
        <f>'F5'!Q95+'F5.1 (N)'!V44</f>
        <v>0</v>
      </c>
      <c r="R95" s="494">
        <f>N95+O95-P95-Q95</f>
        <v>0</v>
      </c>
      <c r="S95" s="494">
        <f>R95</f>
        <v>0</v>
      </c>
      <c r="T95" s="498">
        <f>'F5'!T95+'F5.1 (N)'!Y44</f>
        <v>0</v>
      </c>
      <c r="U95" s="498">
        <f>'F5'!U95+'F5.1 (N)'!Z44</f>
        <v>0</v>
      </c>
      <c r="V95" s="498">
        <f>'F5'!V95+'F5.1 (N)'!AA44</f>
        <v>0</v>
      </c>
      <c r="W95" s="494">
        <f>S95+T95-U95-V95</f>
        <v>0</v>
      </c>
    </row>
    <row r="96" spans="1:33" x14ac:dyDescent="0.3">
      <c r="A96" s="586"/>
      <c r="B96" s="96">
        <f>B95+1</f>
        <v>2</v>
      </c>
      <c r="C96" s="632" t="s">
        <v>255</v>
      </c>
      <c r="D96" s="483">
        <f t="shared" si="26"/>
        <v>6.0056548952938984</v>
      </c>
      <c r="E96" s="481">
        <f>'F5'!E96+'F5.1 (N)'!J45</f>
        <v>0.3519196524960958</v>
      </c>
      <c r="F96" s="481">
        <f>'F5'!F96+'F5.1 (N)'!K45</f>
        <v>0</v>
      </c>
      <c r="G96" s="481">
        <f>'F5'!G96+'F5.1 (N)'!L45</f>
        <v>0</v>
      </c>
      <c r="H96" s="483">
        <f t="shared" ref="H96:H111" si="27">D96+E96-F96-G96</f>
        <v>6.3575745477899943</v>
      </c>
      <c r="I96" s="494">
        <f t="shared" ref="I96:I111" si="28">H96</f>
        <v>6.3575745477899943</v>
      </c>
      <c r="J96" s="498">
        <f>'F5'!J96+'F5.1 (N)'!O45</f>
        <v>0.3519196524960958</v>
      </c>
      <c r="K96" s="498">
        <f>'F5'!K96+'F5.1 (N)'!P45</f>
        <v>0</v>
      </c>
      <c r="L96" s="498">
        <f>'F5'!L96+'F5.1 (N)'!Q45</f>
        <v>0</v>
      </c>
      <c r="M96" s="494">
        <f t="shared" ref="M96:M111" si="29">I96+J96-K96-L96</f>
        <v>6.7094942002860902</v>
      </c>
      <c r="N96" s="494">
        <f t="shared" ref="N96:N111" si="30">M96</f>
        <v>6.7094942002860902</v>
      </c>
      <c r="O96" s="498">
        <f>'F5'!O96+'F5.1 (N)'!T45</f>
        <v>1.3866853436666298</v>
      </c>
      <c r="P96" s="498">
        <f>'F5'!P96+'F5.1 (N)'!U45</f>
        <v>0</v>
      </c>
      <c r="Q96" s="498">
        <f>'F5'!Q96+'F5.1 (N)'!V45</f>
        <v>0</v>
      </c>
      <c r="R96" s="494">
        <f t="shared" ref="R96:R111" si="31">N96+O96-P96-Q96</f>
        <v>8.0961795439527204</v>
      </c>
      <c r="S96" s="494">
        <f t="shared" ref="S96:S111" si="32">R96</f>
        <v>8.0961795439527204</v>
      </c>
      <c r="T96" s="498">
        <f>'F5'!T96+'F5.1 (N)'!Y45</f>
        <v>1.3866853436666293</v>
      </c>
      <c r="U96" s="498">
        <f>'F5'!U96+'F5.1 (N)'!Z45</f>
        <v>0</v>
      </c>
      <c r="V96" s="498">
        <f>'F5'!V96+'F5.1 (N)'!AA45</f>
        <v>0</v>
      </c>
      <c r="W96" s="494">
        <f t="shared" ref="W96:W111" si="33">S96+T96-U96-V96</f>
        <v>9.4828648876193498</v>
      </c>
    </row>
    <row r="97" spans="1:23" x14ac:dyDescent="0.3">
      <c r="A97" s="586"/>
      <c r="B97" s="96">
        <f t="shared" ref="B97:B111" si="34">B96+1</f>
        <v>3</v>
      </c>
      <c r="C97" s="632" t="s">
        <v>861</v>
      </c>
      <c r="D97" s="483">
        <f t="shared" si="26"/>
        <v>8.7916666666666664E-3</v>
      </c>
      <c r="E97" s="481">
        <f>'F5'!E97+'F5.1 (N)'!J46</f>
        <v>3.0770833333333334E-2</v>
      </c>
      <c r="F97" s="481">
        <f>'F5'!F97+'F5.1 (N)'!K46</f>
        <v>0</v>
      </c>
      <c r="G97" s="481">
        <f>'F5'!G97+'F5.1 (N)'!L46</f>
        <v>0</v>
      </c>
      <c r="H97" s="483">
        <f t="shared" si="27"/>
        <v>3.95625E-2</v>
      </c>
      <c r="I97" s="494">
        <f t="shared" si="28"/>
        <v>3.95625E-2</v>
      </c>
      <c r="J97" s="498">
        <f>'F5'!J97+'F5.1 (N)'!O46</f>
        <v>4.3958333333333328E-2</v>
      </c>
      <c r="K97" s="498">
        <f>'F5'!K97+'F5.1 (N)'!P46</f>
        <v>0</v>
      </c>
      <c r="L97" s="498">
        <f>'F5'!L97+'F5.1 (N)'!Q46</f>
        <v>0</v>
      </c>
      <c r="M97" s="494">
        <f t="shared" si="29"/>
        <v>8.3520833333333322E-2</v>
      </c>
      <c r="N97" s="494">
        <f t="shared" si="30"/>
        <v>8.3520833333333322E-2</v>
      </c>
      <c r="O97" s="498">
        <f>'F5'!O97+'F5.1 (N)'!T46</f>
        <v>4.3958333333333328E-2</v>
      </c>
      <c r="P97" s="498">
        <f>'F5'!P97+'F5.1 (N)'!U46</f>
        <v>0</v>
      </c>
      <c r="Q97" s="498">
        <f>'F5'!Q97+'F5.1 (N)'!V46</f>
        <v>0</v>
      </c>
      <c r="R97" s="494">
        <f t="shared" si="31"/>
        <v>0.12747916666666664</v>
      </c>
      <c r="S97" s="494">
        <f t="shared" si="32"/>
        <v>0.12747916666666664</v>
      </c>
      <c r="T97" s="498">
        <f>'F5'!T97+'F5.1 (N)'!Y46</f>
        <v>4.3958333333333328E-2</v>
      </c>
      <c r="U97" s="498">
        <f>'F5'!U97+'F5.1 (N)'!Z46</f>
        <v>0</v>
      </c>
      <c r="V97" s="498">
        <f>'F5'!V97+'F5.1 (N)'!AA46</f>
        <v>0</v>
      </c>
      <c r="W97" s="494">
        <f t="shared" si="33"/>
        <v>0.17143749999999996</v>
      </c>
    </row>
    <row r="98" spans="1:23" x14ac:dyDescent="0.3">
      <c r="A98" s="586"/>
      <c r="B98" s="96">
        <f t="shared" si="34"/>
        <v>4</v>
      </c>
      <c r="C98" s="632" t="s">
        <v>862</v>
      </c>
      <c r="D98" s="483">
        <f t="shared" si="26"/>
        <v>0.88168856996170597</v>
      </c>
      <c r="E98" s="481">
        <f>'F5'!E98+'F5.1 (N)'!J47</f>
        <v>1.1934338960548019E-2</v>
      </c>
      <c r="F98" s="481">
        <f>'F5'!F98+'F5.1 (N)'!K47</f>
        <v>0</v>
      </c>
      <c r="G98" s="481">
        <f>'F5'!G98+'F5.1 (N)'!L47</f>
        <v>0</v>
      </c>
      <c r="H98" s="483">
        <f t="shared" si="27"/>
        <v>0.89362290892225404</v>
      </c>
      <c r="I98" s="494">
        <f t="shared" si="28"/>
        <v>0.89362290892225404</v>
      </c>
      <c r="J98" s="498">
        <f>'F5'!J98+'F5.1 (N)'!O47</f>
        <v>1.1934338960548E-2</v>
      </c>
      <c r="K98" s="498">
        <f>'F5'!K98+'F5.1 (N)'!P47</f>
        <v>0</v>
      </c>
      <c r="L98" s="498">
        <f>'F5'!L98+'F5.1 (N)'!Q47</f>
        <v>0</v>
      </c>
      <c r="M98" s="494">
        <f t="shared" si="29"/>
        <v>0.90555724788280201</v>
      </c>
      <c r="N98" s="494">
        <f t="shared" si="30"/>
        <v>0.90555724788280201</v>
      </c>
      <c r="O98" s="498">
        <f>'F5'!O98+'F5.1 (N)'!T47</f>
        <v>1.1934338960548019E-2</v>
      </c>
      <c r="P98" s="498">
        <f>'F5'!P98+'F5.1 (N)'!U47</f>
        <v>0</v>
      </c>
      <c r="Q98" s="498">
        <f>'F5'!Q98+'F5.1 (N)'!V47</f>
        <v>0</v>
      </c>
      <c r="R98" s="494">
        <f t="shared" si="31"/>
        <v>0.91749158684334997</v>
      </c>
      <c r="S98" s="494">
        <f t="shared" si="32"/>
        <v>0.91749158684334997</v>
      </c>
      <c r="T98" s="498">
        <f>'F5'!T98+'F5.1 (N)'!Y47</f>
        <v>1.1934338960548074E-2</v>
      </c>
      <c r="U98" s="498">
        <f>'F5'!U98+'F5.1 (N)'!Z47</f>
        <v>0</v>
      </c>
      <c r="V98" s="498">
        <f>'F5'!V98+'F5.1 (N)'!AA47</f>
        <v>0</v>
      </c>
      <c r="W98" s="494">
        <f t="shared" si="33"/>
        <v>0.92942592580389805</v>
      </c>
    </row>
    <row r="99" spans="1:23" x14ac:dyDescent="0.3">
      <c r="A99" s="586"/>
      <c r="B99" s="96">
        <f t="shared" si="34"/>
        <v>5</v>
      </c>
      <c r="C99" s="632" t="s">
        <v>863</v>
      </c>
      <c r="D99" s="483">
        <f t="shared" si="26"/>
        <v>3.1077276332692296</v>
      </c>
      <c r="E99" s="481">
        <f>'F5'!E99+'F5.1 (N)'!J48</f>
        <v>0.89152965952742191</v>
      </c>
      <c r="F99" s="481">
        <f>'F5'!F99+'F5.1 (N)'!K48</f>
        <v>0</v>
      </c>
      <c r="G99" s="481">
        <f>'F5'!G99+'F5.1 (N)'!L48</f>
        <v>0</v>
      </c>
      <c r="H99" s="483">
        <f t="shared" si="27"/>
        <v>3.9992572927966514</v>
      </c>
      <c r="I99" s="494">
        <f t="shared" si="28"/>
        <v>3.9992572927966514</v>
      </c>
      <c r="J99" s="498">
        <f>'F5'!J99+'F5.1 (N)'!O48</f>
        <v>0.95102340952742193</v>
      </c>
      <c r="K99" s="498">
        <f>'F5'!K99+'F5.1 (N)'!P48</f>
        <v>0</v>
      </c>
      <c r="L99" s="498">
        <f>'F5'!L99+'F5.1 (N)'!Q48</f>
        <v>0</v>
      </c>
      <c r="M99" s="494">
        <f t="shared" si="29"/>
        <v>4.9502807023240738</v>
      </c>
      <c r="N99" s="494">
        <f t="shared" si="30"/>
        <v>4.9502807023240738</v>
      </c>
      <c r="O99" s="498">
        <f>'F5'!O99+'F5.1 (N)'!T48</f>
        <v>0.98999007619408852</v>
      </c>
      <c r="P99" s="498">
        <f>'F5'!P99+'F5.1 (N)'!U48</f>
        <v>0</v>
      </c>
      <c r="Q99" s="498">
        <f>'F5'!Q99+'F5.1 (N)'!V48</f>
        <v>0</v>
      </c>
      <c r="R99" s="494">
        <f t="shared" si="31"/>
        <v>5.9402707785181619</v>
      </c>
      <c r="S99" s="494">
        <f t="shared" si="32"/>
        <v>5.9402707785181619</v>
      </c>
      <c r="T99" s="498">
        <f>'F5'!T99+'F5.1 (N)'!Y48</f>
        <v>1.0289567428607553</v>
      </c>
      <c r="U99" s="498">
        <f>'F5'!U99+'F5.1 (N)'!Z48</f>
        <v>0</v>
      </c>
      <c r="V99" s="498">
        <f>'F5'!V99+'F5.1 (N)'!AA48</f>
        <v>0</v>
      </c>
      <c r="W99" s="494">
        <f t="shared" si="33"/>
        <v>6.969227521378917</v>
      </c>
    </row>
    <row r="100" spans="1:23" x14ac:dyDescent="0.3">
      <c r="A100" s="586"/>
      <c r="B100" s="96">
        <f t="shared" si="34"/>
        <v>6</v>
      </c>
      <c r="C100" s="632" t="s">
        <v>254</v>
      </c>
      <c r="D100" s="483">
        <f t="shared" si="26"/>
        <v>13.901219652074147</v>
      </c>
      <c r="E100" s="481">
        <f>'F5'!E100+'F5.1 (N)'!J49</f>
        <v>5.0119632260632265</v>
      </c>
      <c r="F100" s="481">
        <f>'F5'!F100+'F5.1 (N)'!K49</f>
        <v>0</v>
      </c>
      <c r="G100" s="481">
        <f>'F5'!G100+'F5.1 (N)'!L49</f>
        <v>0</v>
      </c>
      <c r="H100" s="483">
        <f t="shared" si="27"/>
        <v>18.913182878137373</v>
      </c>
      <c r="I100" s="494">
        <f t="shared" si="28"/>
        <v>18.913182878137373</v>
      </c>
      <c r="J100" s="498">
        <f>'F5'!J100+'F5.1 (N)'!O49</f>
        <v>6.3455887260632267</v>
      </c>
      <c r="K100" s="498">
        <f>'F5'!K100+'F5.1 (N)'!P49</f>
        <v>0</v>
      </c>
      <c r="L100" s="498">
        <f>'F5'!L100+'F5.1 (N)'!Q49</f>
        <v>0</v>
      </c>
      <c r="M100" s="494">
        <f t="shared" si="29"/>
        <v>25.2587716042006</v>
      </c>
      <c r="N100" s="494">
        <f t="shared" si="30"/>
        <v>25.2587716042006</v>
      </c>
      <c r="O100" s="939">
        <f>'F5'!O100+'F5.1 (N)'!T49</f>
        <v>7.9966657260632266</v>
      </c>
      <c r="P100" s="498">
        <f>'F5'!P100+'F5.1 (N)'!U49</f>
        <v>0</v>
      </c>
      <c r="Q100" s="498">
        <f>'F5'!Q100+'F5.1 (N)'!V49</f>
        <v>0</v>
      </c>
      <c r="R100" s="494">
        <f t="shared" si="31"/>
        <v>33.255437330263824</v>
      </c>
      <c r="S100" s="494">
        <f t="shared" si="32"/>
        <v>33.255437330263824</v>
      </c>
      <c r="T100" s="498">
        <f>'F5'!T100+'F5.1 (N)'!Y49</f>
        <v>9.4057257260632277</v>
      </c>
      <c r="U100" s="498">
        <f>'F5'!U100+'F5.1 (N)'!Z49</f>
        <v>0</v>
      </c>
      <c r="V100" s="498">
        <f>'F5'!V100+'F5.1 (N)'!AA49</f>
        <v>0</v>
      </c>
      <c r="W100" s="494">
        <f t="shared" si="33"/>
        <v>42.661163056327055</v>
      </c>
    </row>
    <row r="101" spans="1:23" x14ac:dyDescent="0.3">
      <c r="A101" s="586"/>
      <c r="B101" s="96">
        <f t="shared" si="34"/>
        <v>7</v>
      </c>
      <c r="C101" s="632" t="s">
        <v>864</v>
      </c>
      <c r="D101" s="483">
        <f t="shared" si="26"/>
        <v>0.84383553408960621</v>
      </c>
      <c r="E101" s="481">
        <f>'F5'!E101+'F5.1 (N)'!J50</f>
        <v>0.10314040937313987</v>
      </c>
      <c r="F101" s="481">
        <f>'F5'!F101+'F5.1 (N)'!K50</f>
        <v>0</v>
      </c>
      <c r="G101" s="481">
        <f>'F5'!G101+'F5.1 (N)'!L50</f>
        <v>0</v>
      </c>
      <c r="H101" s="483">
        <f t="shared" si="27"/>
        <v>0.94697594346274605</v>
      </c>
      <c r="I101" s="494">
        <f t="shared" si="28"/>
        <v>0.94697594346274605</v>
      </c>
      <c r="J101" s="498">
        <f>'F5'!J101+'F5.1 (N)'!O50</f>
        <v>0.11501540937313987</v>
      </c>
      <c r="K101" s="498">
        <f>'F5'!K101+'F5.1 (N)'!P50</f>
        <v>0</v>
      </c>
      <c r="L101" s="498">
        <f>'F5'!L101+'F5.1 (N)'!Q50</f>
        <v>0</v>
      </c>
      <c r="M101" s="494">
        <f t="shared" si="29"/>
        <v>1.061991352835886</v>
      </c>
      <c r="N101" s="494">
        <f t="shared" si="30"/>
        <v>1.061991352835886</v>
      </c>
      <c r="O101" s="498">
        <f>'F5'!O101+'F5.1 (N)'!T50</f>
        <v>0.12689040937313986</v>
      </c>
      <c r="P101" s="498">
        <f>'F5'!P101+'F5.1 (N)'!U50</f>
        <v>0</v>
      </c>
      <c r="Q101" s="498">
        <f>'F5'!Q101+'F5.1 (N)'!V50</f>
        <v>0</v>
      </c>
      <c r="R101" s="494">
        <f t="shared" si="31"/>
        <v>1.1888817622090257</v>
      </c>
      <c r="S101" s="494">
        <f t="shared" si="32"/>
        <v>1.1888817622090257</v>
      </c>
      <c r="T101" s="498">
        <f>'F5'!T101+'F5.1 (N)'!Y50</f>
        <v>0.12689040937313986</v>
      </c>
      <c r="U101" s="498">
        <f>'F5'!U101+'F5.1 (N)'!Z50</f>
        <v>0</v>
      </c>
      <c r="V101" s="498">
        <f>'F5'!V101+'F5.1 (N)'!AA50</f>
        <v>0</v>
      </c>
      <c r="W101" s="494">
        <f t="shared" si="33"/>
        <v>1.3157721715821655</v>
      </c>
    </row>
    <row r="102" spans="1:23" x14ac:dyDescent="0.3">
      <c r="A102" s="586"/>
      <c r="B102" s="96">
        <f t="shared" si="34"/>
        <v>8</v>
      </c>
      <c r="C102" s="632" t="s">
        <v>865</v>
      </c>
      <c r="D102" s="483">
        <f t="shared" si="26"/>
        <v>0</v>
      </c>
      <c r="E102" s="481">
        <f>'F5'!E102+'F5.1 (N)'!J51</f>
        <v>0</v>
      </c>
      <c r="F102" s="481">
        <f>'F5'!F102+'F5.1 (N)'!K51</f>
        <v>0</v>
      </c>
      <c r="G102" s="481">
        <f>'F5'!G102+'F5.1 (N)'!L51</f>
        <v>0</v>
      </c>
      <c r="H102" s="483">
        <f t="shared" si="27"/>
        <v>0</v>
      </c>
      <c r="I102" s="494">
        <f t="shared" si="28"/>
        <v>0</v>
      </c>
      <c r="J102" s="498">
        <f>'F5'!J102+'F5.1 (N)'!O51</f>
        <v>0</v>
      </c>
      <c r="K102" s="498">
        <f>'F5'!K102+'F5.1 (N)'!P51</f>
        <v>0</v>
      </c>
      <c r="L102" s="498">
        <f>'F5'!L102+'F5.1 (N)'!Q51</f>
        <v>0</v>
      </c>
      <c r="M102" s="494">
        <f t="shared" si="29"/>
        <v>0</v>
      </c>
      <c r="N102" s="494">
        <f t="shared" si="30"/>
        <v>0</v>
      </c>
      <c r="O102" s="498">
        <f>'F5'!O102+'F5.1 (N)'!T51</f>
        <v>0</v>
      </c>
      <c r="P102" s="498">
        <f>'F5'!P102+'F5.1 (N)'!U51</f>
        <v>0</v>
      </c>
      <c r="Q102" s="498">
        <f>'F5'!Q102+'F5.1 (N)'!V51</f>
        <v>0</v>
      </c>
      <c r="R102" s="494">
        <f t="shared" si="31"/>
        <v>0</v>
      </c>
      <c r="S102" s="494">
        <f t="shared" si="32"/>
        <v>0</v>
      </c>
      <c r="T102" s="498">
        <f>'F5'!T102+'F5.1 (N)'!Y51</f>
        <v>0</v>
      </c>
      <c r="U102" s="498">
        <f>'F5'!U102+'F5.1 (N)'!Z51</f>
        <v>0</v>
      </c>
      <c r="V102" s="498">
        <f>'F5'!V102+'F5.1 (N)'!AA51</f>
        <v>0</v>
      </c>
      <c r="W102" s="494">
        <f t="shared" si="33"/>
        <v>0</v>
      </c>
    </row>
    <row r="103" spans="1:23" x14ac:dyDescent="0.3">
      <c r="A103" s="586"/>
      <c r="B103" s="96">
        <f t="shared" si="34"/>
        <v>9</v>
      </c>
      <c r="C103" s="632" t="s">
        <v>866</v>
      </c>
      <c r="D103" s="483">
        <f t="shared" si="26"/>
        <v>2.165608842212623</v>
      </c>
      <c r="E103" s="481">
        <f>'F5'!E103+'F5.1 (N)'!J52</f>
        <v>0.10458945696863017</v>
      </c>
      <c r="F103" s="481">
        <f>'F5'!F103+'F5.1 (N)'!K52</f>
        <v>0</v>
      </c>
      <c r="G103" s="481">
        <f>'F5'!G103+'F5.1 (N)'!L52</f>
        <v>0</v>
      </c>
      <c r="H103" s="483">
        <f t="shared" si="27"/>
        <v>2.2701982991812533</v>
      </c>
      <c r="I103" s="494">
        <f t="shared" si="28"/>
        <v>2.2701982991812533</v>
      </c>
      <c r="J103" s="498">
        <f>'F5'!J103+'F5.1 (N)'!O52</f>
        <v>0.19874820696863027</v>
      </c>
      <c r="K103" s="498">
        <f>'F5'!K103+'F5.1 (N)'!P52</f>
        <v>0</v>
      </c>
      <c r="L103" s="498">
        <f>'F5'!L103+'F5.1 (N)'!Q52</f>
        <v>0</v>
      </c>
      <c r="M103" s="494">
        <f t="shared" si="29"/>
        <v>2.4689465061498836</v>
      </c>
      <c r="N103" s="494">
        <f t="shared" si="30"/>
        <v>2.4689465061498836</v>
      </c>
      <c r="O103" s="498">
        <f>'F5'!O103+'F5.1 (N)'!T52</f>
        <v>0.20402320696863019</v>
      </c>
      <c r="P103" s="498">
        <f>'F5'!P103+'F5.1 (N)'!U52</f>
        <v>0</v>
      </c>
      <c r="Q103" s="498">
        <f>'F5'!Q103+'F5.1 (N)'!V52</f>
        <v>0</v>
      </c>
      <c r="R103" s="494">
        <f t="shared" si="31"/>
        <v>2.6729697131185137</v>
      </c>
      <c r="S103" s="494">
        <f t="shared" si="32"/>
        <v>2.6729697131185137</v>
      </c>
      <c r="T103" s="498">
        <f>'F5'!T103+'F5.1 (N)'!Y52</f>
        <v>0.20402320696862997</v>
      </c>
      <c r="U103" s="498">
        <f>'F5'!U103+'F5.1 (N)'!Z52</f>
        <v>0</v>
      </c>
      <c r="V103" s="498">
        <f>'F5'!V103+'F5.1 (N)'!AA52</f>
        <v>0</v>
      </c>
      <c r="W103" s="494">
        <f t="shared" si="33"/>
        <v>2.8769929200871438</v>
      </c>
    </row>
    <row r="104" spans="1:23" x14ac:dyDescent="0.3">
      <c r="A104" s="586"/>
      <c r="B104" s="96">
        <f t="shared" si="34"/>
        <v>10</v>
      </c>
      <c r="C104" s="632" t="s">
        <v>258</v>
      </c>
      <c r="D104" s="483">
        <f t="shared" si="26"/>
        <v>1.2820251429798042</v>
      </c>
      <c r="E104" s="481">
        <f>'F5'!E104+'F5.1 (N)'!J53</f>
        <v>1.0915708436725846E-2</v>
      </c>
      <c r="F104" s="481">
        <f>'F5'!F104+'F5.1 (N)'!K53</f>
        <v>0</v>
      </c>
      <c r="G104" s="481">
        <f>'F5'!G104+'F5.1 (N)'!L53</f>
        <v>0</v>
      </c>
      <c r="H104" s="483">
        <f t="shared" si="27"/>
        <v>1.2929408514165299</v>
      </c>
      <c r="I104" s="494">
        <f t="shared" si="28"/>
        <v>1.2929408514165299</v>
      </c>
      <c r="J104" s="498">
        <f>'F5'!J104+'F5.1 (N)'!O53</f>
        <v>1.0915708436725883E-2</v>
      </c>
      <c r="K104" s="498">
        <f>'F5'!K104+'F5.1 (N)'!P53</f>
        <v>0</v>
      </c>
      <c r="L104" s="498">
        <f>'F5'!L104+'F5.1 (N)'!Q53</f>
        <v>0</v>
      </c>
      <c r="M104" s="494">
        <f t="shared" si="29"/>
        <v>1.3038565598532559</v>
      </c>
      <c r="N104" s="494">
        <f t="shared" si="30"/>
        <v>1.3038565598532559</v>
      </c>
      <c r="O104" s="498">
        <f>'F5'!O104+'F5.1 (N)'!T53</f>
        <v>1.0915708436725846E-2</v>
      </c>
      <c r="P104" s="498">
        <f>'F5'!P104+'F5.1 (N)'!U53</f>
        <v>0</v>
      </c>
      <c r="Q104" s="498">
        <f>'F5'!Q104+'F5.1 (N)'!V53</f>
        <v>0</v>
      </c>
      <c r="R104" s="494">
        <f t="shared" si="31"/>
        <v>1.3147722682899818</v>
      </c>
      <c r="S104" s="494">
        <f t="shared" si="32"/>
        <v>1.3147722682899818</v>
      </c>
      <c r="T104" s="498">
        <f>'F5'!T104+'F5.1 (N)'!Y53</f>
        <v>1.0915708436725735E-2</v>
      </c>
      <c r="U104" s="498">
        <f>'F5'!U104+'F5.1 (N)'!Z53</f>
        <v>0</v>
      </c>
      <c r="V104" s="498">
        <f>'F5'!V104+'F5.1 (N)'!AA53</f>
        <v>0</v>
      </c>
      <c r="W104" s="494">
        <f t="shared" si="33"/>
        <v>1.3256879767267076</v>
      </c>
    </row>
    <row r="105" spans="1:23" x14ac:dyDescent="0.3">
      <c r="A105" s="586"/>
      <c r="B105" s="96">
        <f t="shared" si="34"/>
        <v>11</v>
      </c>
      <c r="C105" s="632" t="s">
        <v>259</v>
      </c>
      <c r="D105" s="483">
        <f t="shared" si="26"/>
        <v>2.0707957920502689</v>
      </c>
      <c r="E105" s="481">
        <f>'F5'!E105+'F5.1 (N)'!J54</f>
        <v>0.16218869827568472</v>
      </c>
      <c r="F105" s="481">
        <f>'F5'!F105+'F5.1 (N)'!K54</f>
        <v>0</v>
      </c>
      <c r="G105" s="481">
        <f>'F5'!G105+'F5.1 (N)'!L54</f>
        <v>0</v>
      </c>
      <c r="H105" s="483">
        <f t="shared" si="27"/>
        <v>2.2329844903259537</v>
      </c>
      <c r="I105" s="494">
        <f t="shared" si="28"/>
        <v>2.2329844903259537</v>
      </c>
      <c r="J105" s="498">
        <f>'F5'!J105+'F5.1 (N)'!O54</f>
        <v>0.16218869827568469</v>
      </c>
      <c r="K105" s="498">
        <f>'F5'!K105+'F5.1 (N)'!P54</f>
        <v>0</v>
      </c>
      <c r="L105" s="498">
        <f>'F5'!L105+'F5.1 (N)'!Q54</f>
        <v>0</v>
      </c>
      <c r="M105" s="494">
        <f t="shared" si="29"/>
        <v>2.3951731886016385</v>
      </c>
      <c r="N105" s="494">
        <f t="shared" si="30"/>
        <v>2.3951731886016385</v>
      </c>
      <c r="O105" s="498">
        <f>'F5'!O105+'F5.1 (N)'!T54</f>
        <v>0.16218869827568461</v>
      </c>
      <c r="P105" s="498">
        <f>'F5'!P105+'F5.1 (N)'!U54</f>
        <v>0</v>
      </c>
      <c r="Q105" s="498">
        <f>'F5'!Q105+'F5.1 (N)'!V54</f>
        <v>0</v>
      </c>
      <c r="R105" s="494">
        <f t="shared" si="31"/>
        <v>2.5573618868773229</v>
      </c>
      <c r="S105" s="494">
        <f t="shared" si="32"/>
        <v>2.5573618868773229</v>
      </c>
      <c r="T105" s="498">
        <f>'F5'!T105+'F5.1 (N)'!Y54</f>
        <v>0.16218869827568483</v>
      </c>
      <c r="U105" s="498">
        <f>'F5'!U105+'F5.1 (N)'!Z54</f>
        <v>0</v>
      </c>
      <c r="V105" s="498">
        <f>'F5'!V105+'F5.1 (N)'!AA54</f>
        <v>0</v>
      </c>
      <c r="W105" s="494">
        <f t="shared" si="33"/>
        <v>2.7195505851530077</v>
      </c>
    </row>
    <row r="106" spans="1:23" x14ac:dyDescent="0.3">
      <c r="A106" s="586"/>
      <c r="B106" s="96">
        <f t="shared" si="34"/>
        <v>12</v>
      </c>
      <c r="C106" s="632" t="s">
        <v>260</v>
      </c>
      <c r="D106" s="483">
        <f t="shared" si="26"/>
        <v>1.7221998834483734</v>
      </c>
      <c r="E106" s="481">
        <f>'F5'!E106+'F5.1 (N)'!J55</f>
        <v>0.15175005945898545</v>
      </c>
      <c r="F106" s="481">
        <f>'F5'!F106+'F5.1 (N)'!K55</f>
        <v>0</v>
      </c>
      <c r="G106" s="481">
        <f>'F5'!G106+'F5.1 (N)'!L55</f>
        <v>0</v>
      </c>
      <c r="H106" s="483">
        <f t="shared" si="27"/>
        <v>1.8739499429073589</v>
      </c>
      <c r="I106" s="494">
        <f t="shared" si="28"/>
        <v>1.8739499429073589</v>
      </c>
      <c r="J106" s="498">
        <f>'F5'!J106+'F5.1 (N)'!O55</f>
        <v>0.15175005945898543</v>
      </c>
      <c r="K106" s="498">
        <f>'F5'!K106+'F5.1 (N)'!P55</f>
        <v>0</v>
      </c>
      <c r="L106" s="498">
        <f>'F5'!L106+'F5.1 (N)'!Q55</f>
        <v>0</v>
      </c>
      <c r="M106" s="494">
        <f t="shared" si="29"/>
        <v>2.0257000023663445</v>
      </c>
      <c r="N106" s="494">
        <f t="shared" si="30"/>
        <v>2.0257000023663445</v>
      </c>
      <c r="O106" s="498">
        <f>'F5'!O106+'F5.1 (N)'!T55</f>
        <v>0.15175005945898534</v>
      </c>
      <c r="P106" s="498">
        <f>'F5'!P106+'F5.1 (N)'!U55</f>
        <v>0</v>
      </c>
      <c r="Q106" s="498">
        <f>'F5'!Q106+'F5.1 (N)'!V55</f>
        <v>0</v>
      </c>
      <c r="R106" s="494">
        <f t="shared" si="31"/>
        <v>2.1774500618253301</v>
      </c>
      <c r="S106" s="494">
        <f t="shared" si="32"/>
        <v>2.1774500618253301</v>
      </c>
      <c r="T106" s="498">
        <f>'F5'!T106+'F5.1 (N)'!Y55</f>
        <v>0.15175005945898512</v>
      </c>
      <c r="U106" s="498">
        <f>'F5'!U106+'F5.1 (N)'!Z55</f>
        <v>0</v>
      </c>
      <c r="V106" s="498">
        <f>'F5'!V106+'F5.1 (N)'!AA55</f>
        <v>0</v>
      </c>
      <c r="W106" s="494">
        <f t="shared" si="33"/>
        <v>2.3292001212843152</v>
      </c>
    </row>
    <row r="107" spans="1:23" x14ac:dyDescent="0.3">
      <c r="A107" s="586"/>
      <c r="B107" s="96">
        <f t="shared" si="34"/>
        <v>13</v>
      </c>
      <c r="C107" s="497" t="s">
        <v>874</v>
      </c>
      <c r="D107" s="483">
        <f t="shared" si="26"/>
        <v>0</v>
      </c>
      <c r="E107" s="481">
        <f>'F5'!E107+'F5.1 (N)'!J56</f>
        <v>0</v>
      </c>
      <c r="F107" s="481">
        <f>'F5'!F107+'F5.1 (N)'!K56</f>
        <v>0</v>
      </c>
      <c r="G107" s="481">
        <f>'F5'!G107+'F5.1 (N)'!L56</f>
        <v>0</v>
      </c>
      <c r="H107" s="483">
        <f t="shared" si="27"/>
        <v>0</v>
      </c>
      <c r="I107" s="494">
        <f t="shared" si="28"/>
        <v>0</v>
      </c>
      <c r="J107" s="498">
        <f>'F5'!J107+'F5.1 (N)'!O56</f>
        <v>0</v>
      </c>
      <c r="K107" s="498">
        <f>'F5'!K107+'F5.1 (N)'!P56</f>
        <v>0</v>
      </c>
      <c r="L107" s="498">
        <f>'F5'!L107+'F5.1 (N)'!Q56</f>
        <v>0</v>
      </c>
      <c r="M107" s="494">
        <f t="shared" si="29"/>
        <v>0</v>
      </c>
      <c r="N107" s="494">
        <f t="shared" si="30"/>
        <v>0</v>
      </c>
      <c r="O107" s="498">
        <f>'F5'!O107+'F5.1 (N)'!T56</f>
        <v>0</v>
      </c>
      <c r="P107" s="498">
        <f>'F5'!P107+'F5.1 (N)'!U56</f>
        <v>0</v>
      </c>
      <c r="Q107" s="498">
        <f>'F5'!Q107+'F5.1 (N)'!V56</f>
        <v>0</v>
      </c>
      <c r="R107" s="494">
        <f t="shared" si="31"/>
        <v>0</v>
      </c>
      <c r="S107" s="494">
        <f t="shared" si="32"/>
        <v>0</v>
      </c>
      <c r="T107" s="498">
        <f>'F5'!T107+'F5.1 (N)'!Y56</f>
        <v>0</v>
      </c>
      <c r="U107" s="498">
        <f>'F5'!U107+'F5.1 (N)'!Z56</f>
        <v>0</v>
      </c>
      <c r="V107" s="498">
        <f>'F5'!V107+'F5.1 (N)'!AA56</f>
        <v>0</v>
      </c>
      <c r="W107" s="494">
        <f t="shared" si="33"/>
        <v>0</v>
      </c>
    </row>
    <row r="108" spans="1:23" x14ac:dyDescent="0.3">
      <c r="A108" s="586"/>
      <c r="B108" s="96">
        <f t="shared" si="34"/>
        <v>14</v>
      </c>
      <c r="C108" s="497" t="s">
        <v>875</v>
      </c>
      <c r="D108" s="483">
        <f t="shared" si="26"/>
        <v>0</v>
      </c>
      <c r="E108" s="481">
        <f>'F5'!E108+'F5.1 (N)'!J57</f>
        <v>0</v>
      </c>
      <c r="F108" s="481">
        <f>'F5'!F108+'F5.1 (N)'!K57</f>
        <v>0</v>
      </c>
      <c r="G108" s="481">
        <f>'F5'!G108+'F5.1 (N)'!L57</f>
        <v>0</v>
      </c>
      <c r="H108" s="483">
        <f t="shared" si="27"/>
        <v>0</v>
      </c>
      <c r="I108" s="494">
        <f t="shared" si="28"/>
        <v>0</v>
      </c>
      <c r="J108" s="498">
        <f>'F5'!J108+'F5.1 (N)'!O57</f>
        <v>0</v>
      </c>
      <c r="K108" s="498">
        <f>'F5'!K108+'F5.1 (N)'!P57</f>
        <v>0</v>
      </c>
      <c r="L108" s="498">
        <f>'F5'!L108+'F5.1 (N)'!Q57</f>
        <v>0</v>
      </c>
      <c r="M108" s="494">
        <f t="shared" si="29"/>
        <v>0</v>
      </c>
      <c r="N108" s="494">
        <f t="shared" si="30"/>
        <v>0</v>
      </c>
      <c r="O108" s="498">
        <f>'F5'!O108+'F5.1 (N)'!T57</f>
        <v>0</v>
      </c>
      <c r="P108" s="498">
        <f>'F5'!P108+'F5.1 (N)'!U57</f>
        <v>0</v>
      </c>
      <c r="Q108" s="498">
        <f>'F5'!Q108+'F5.1 (N)'!V57</f>
        <v>0</v>
      </c>
      <c r="R108" s="494">
        <f t="shared" si="31"/>
        <v>0</v>
      </c>
      <c r="S108" s="494">
        <f t="shared" si="32"/>
        <v>0</v>
      </c>
      <c r="T108" s="498">
        <f>'F5'!T108+'F5.1 (N)'!Y57</f>
        <v>0</v>
      </c>
      <c r="U108" s="498">
        <f>'F5'!U108+'F5.1 (N)'!Z57</f>
        <v>0</v>
      </c>
      <c r="V108" s="498">
        <f>'F5'!V108+'F5.1 (N)'!AA57</f>
        <v>0</v>
      </c>
      <c r="W108" s="494">
        <f t="shared" si="33"/>
        <v>0</v>
      </c>
    </row>
    <row r="109" spans="1:23" x14ac:dyDescent="0.3">
      <c r="A109" s="586"/>
      <c r="B109" s="96">
        <f t="shared" si="34"/>
        <v>15</v>
      </c>
      <c r="C109" s="497" t="s">
        <v>876</v>
      </c>
      <c r="D109" s="483">
        <f t="shared" si="26"/>
        <v>0</v>
      </c>
      <c r="E109" s="481">
        <f>'F5'!E109+'F5.1 (N)'!J58</f>
        <v>0</v>
      </c>
      <c r="F109" s="481">
        <f>'F5'!F109+'F5.1 (N)'!K58</f>
        <v>0</v>
      </c>
      <c r="G109" s="481">
        <f>'F5'!G109+'F5.1 (N)'!L58</f>
        <v>0</v>
      </c>
      <c r="H109" s="483">
        <f t="shared" si="27"/>
        <v>0</v>
      </c>
      <c r="I109" s="494">
        <f t="shared" si="28"/>
        <v>0</v>
      </c>
      <c r="J109" s="498">
        <f>'F5'!J109+'F5.1 (N)'!O58</f>
        <v>0</v>
      </c>
      <c r="K109" s="498">
        <f>'F5'!K109+'F5.1 (N)'!P58</f>
        <v>0</v>
      </c>
      <c r="L109" s="498">
        <f>'F5'!L109+'F5.1 (N)'!Q58</f>
        <v>0</v>
      </c>
      <c r="M109" s="494">
        <f t="shared" si="29"/>
        <v>0</v>
      </c>
      <c r="N109" s="494">
        <f t="shared" si="30"/>
        <v>0</v>
      </c>
      <c r="O109" s="498">
        <f>'F5'!O109+'F5.1 (N)'!T58</f>
        <v>0</v>
      </c>
      <c r="P109" s="498">
        <f>'F5'!P109+'F5.1 (N)'!U58</f>
        <v>0</v>
      </c>
      <c r="Q109" s="498">
        <f>'F5'!Q109+'F5.1 (N)'!V58</f>
        <v>0</v>
      </c>
      <c r="R109" s="494">
        <f t="shared" si="31"/>
        <v>0</v>
      </c>
      <c r="S109" s="494">
        <f t="shared" si="32"/>
        <v>0</v>
      </c>
      <c r="T109" s="498">
        <f>'F5'!T109+'F5.1 (N)'!Y58</f>
        <v>0</v>
      </c>
      <c r="U109" s="498">
        <f>'F5'!U109+'F5.1 (N)'!Z58</f>
        <v>0</v>
      </c>
      <c r="V109" s="498">
        <f>'F5'!V109+'F5.1 (N)'!AA58</f>
        <v>0</v>
      </c>
      <c r="W109" s="494">
        <f t="shared" si="33"/>
        <v>0</v>
      </c>
    </row>
    <row r="110" spans="1:23" x14ac:dyDescent="0.3">
      <c r="A110" s="586"/>
      <c r="B110" s="96">
        <f t="shared" si="34"/>
        <v>16</v>
      </c>
      <c r="C110" s="497" t="s">
        <v>867</v>
      </c>
      <c r="D110" s="483">
        <f t="shared" si="26"/>
        <v>1.3589212541980193</v>
      </c>
      <c r="E110" s="481">
        <f>'F5'!E110+'F5.1 (N)'!J59</f>
        <v>1.6274506038299663E-2</v>
      </c>
      <c r="F110" s="481">
        <f>'F5'!F110+'F5.1 (N)'!K59</f>
        <v>0</v>
      </c>
      <c r="G110" s="481">
        <f>'F5'!G110+'F5.1 (N)'!L59</f>
        <v>0</v>
      </c>
      <c r="H110" s="483">
        <f t="shared" si="27"/>
        <v>1.375195760236319</v>
      </c>
      <c r="I110" s="494">
        <f t="shared" si="28"/>
        <v>1.375195760236319</v>
      </c>
      <c r="J110" s="498">
        <f>'F5'!J110+'F5.1 (N)'!O59</f>
        <v>1.627450603829968E-2</v>
      </c>
      <c r="K110" s="498">
        <f>'F5'!K110+'F5.1 (N)'!P59</f>
        <v>0</v>
      </c>
      <c r="L110" s="498">
        <f>'F5'!L110+'F5.1 (N)'!Q59</f>
        <v>0</v>
      </c>
      <c r="M110" s="494">
        <f t="shared" si="29"/>
        <v>1.3914702662746186</v>
      </c>
      <c r="N110" s="494">
        <f t="shared" si="30"/>
        <v>1.3914702662746186</v>
      </c>
      <c r="O110" s="498">
        <f>'F5'!O110+'F5.1 (N)'!T59</f>
        <v>1.6274506038299719E-2</v>
      </c>
      <c r="P110" s="498">
        <f>'F5'!P110+'F5.1 (N)'!U59</f>
        <v>0</v>
      </c>
      <c r="Q110" s="498">
        <f>'F5'!Q110+'F5.1 (N)'!V59</f>
        <v>0</v>
      </c>
      <c r="R110" s="494">
        <f t="shared" si="31"/>
        <v>1.4077447723129182</v>
      </c>
      <c r="S110" s="494">
        <f t="shared" si="32"/>
        <v>1.4077447723129182</v>
      </c>
      <c r="T110" s="498">
        <f>'F5'!T110+'F5.1 (N)'!Y59</f>
        <v>1.627450603829983E-2</v>
      </c>
      <c r="U110" s="498">
        <f>'F5'!U110+'F5.1 (N)'!Z59</f>
        <v>0</v>
      </c>
      <c r="V110" s="498">
        <f>'F5'!V110+'F5.1 (N)'!AA59</f>
        <v>0</v>
      </c>
      <c r="W110" s="494">
        <f t="shared" si="33"/>
        <v>1.424019278351218</v>
      </c>
    </row>
    <row r="111" spans="1:23" x14ac:dyDescent="0.3">
      <c r="A111" s="586"/>
      <c r="B111" s="96">
        <f t="shared" si="34"/>
        <v>17</v>
      </c>
      <c r="C111" s="497" t="s">
        <v>877</v>
      </c>
      <c r="D111" s="483">
        <f t="shared" si="26"/>
        <v>5.6359709404896199</v>
      </c>
      <c r="E111" s="481">
        <f>'F5'!E111+'F5.1 (N)'!J60</f>
        <v>6.4016666666666657E-3</v>
      </c>
      <c r="F111" s="481">
        <f>'F5'!F111+'F5.1 (N)'!K60</f>
        <v>0</v>
      </c>
      <c r="G111" s="481">
        <f>'F5'!G111+'F5.1 (N)'!L60</f>
        <v>0</v>
      </c>
      <c r="H111" s="483">
        <f t="shared" si="27"/>
        <v>5.642372607156287</v>
      </c>
      <c r="I111" s="494">
        <f t="shared" si="28"/>
        <v>5.642372607156287</v>
      </c>
      <c r="J111" s="498">
        <f>'F5'!J111+'F5.1 (N)'!O60</f>
        <v>8.9066666666666669E-3</v>
      </c>
      <c r="K111" s="498">
        <f>'F5'!K111+'F5.1 (N)'!P60</f>
        <v>0</v>
      </c>
      <c r="L111" s="498">
        <f>'F5'!L111+'F5.1 (N)'!Q60</f>
        <v>0</v>
      </c>
      <c r="M111" s="494">
        <f t="shared" si="29"/>
        <v>5.6512792738229534</v>
      </c>
      <c r="N111" s="494">
        <f t="shared" si="30"/>
        <v>5.6512792738229534</v>
      </c>
      <c r="O111" s="498">
        <f>'F5'!O111+'F5.1 (N)'!T60</f>
        <v>8.9066666666666669E-3</v>
      </c>
      <c r="P111" s="498">
        <f>'F5'!P111+'F5.1 (N)'!U60</f>
        <v>0</v>
      </c>
      <c r="Q111" s="498">
        <f>'F5'!Q111+'F5.1 (N)'!V60</f>
        <v>0</v>
      </c>
      <c r="R111" s="494">
        <f t="shared" si="31"/>
        <v>5.6601859404896198</v>
      </c>
      <c r="S111" s="494">
        <f t="shared" si="32"/>
        <v>5.6601859404896198</v>
      </c>
      <c r="T111" s="498">
        <f>'F5'!T111+'F5.1 (N)'!Y60</f>
        <v>8.9066666666666669E-3</v>
      </c>
      <c r="U111" s="498">
        <f>'F5'!U111+'F5.1 (N)'!Z60</f>
        <v>0</v>
      </c>
      <c r="V111" s="498">
        <f>'F5'!V111+'F5.1 (N)'!AA60</f>
        <v>0</v>
      </c>
      <c r="W111" s="494">
        <f t="shared" si="33"/>
        <v>5.6690926071562862</v>
      </c>
    </row>
    <row r="112" spans="1:23" ht="16" x14ac:dyDescent="0.3">
      <c r="B112" s="84"/>
      <c r="C112" s="99" t="s">
        <v>271</v>
      </c>
      <c r="D112" s="485">
        <f t="shared" ref="D112:W112" si="35">SUM(D95:D111)</f>
        <v>38.98443980673396</v>
      </c>
      <c r="E112" s="485">
        <f t="shared" si="35"/>
        <v>6.8533782155987577</v>
      </c>
      <c r="F112" s="485">
        <f t="shared" si="35"/>
        <v>0</v>
      </c>
      <c r="G112" s="485">
        <f t="shared" si="35"/>
        <v>0</v>
      </c>
      <c r="H112" s="485">
        <f t="shared" si="35"/>
        <v>45.837818022332726</v>
      </c>
      <c r="I112" s="485">
        <f t="shared" si="35"/>
        <v>45.837818022332726</v>
      </c>
      <c r="J112" s="485">
        <f t="shared" si="35"/>
        <v>8.3682237155987576</v>
      </c>
      <c r="K112" s="485">
        <f t="shared" si="35"/>
        <v>0</v>
      </c>
      <c r="L112" s="485">
        <f t="shared" si="35"/>
        <v>0</v>
      </c>
      <c r="M112" s="485">
        <f t="shared" si="35"/>
        <v>54.206041737931479</v>
      </c>
      <c r="N112" s="485">
        <f t="shared" si="35"/>
        <v>54.206041737931479</v>
      </c>
      <c r="O112" s="485">
        <f t="shared" si="35"/>
        <v>11.110183073435957</v>
      </c>
      <c r="P112" s="485">
        <f t="shared" si="35"/>
        <v>0</v>
      </c>
      <c r="Q112" s="485">
        <f t="shared" si="35"/>
        <v>0</v>
      </c>
      <c r="R112" s="485">
        <f t="shared" si="35"/>
        <v>65.316224811367434</v>
      </c>
      <c r="S112" s="485">
        <f t="shared" si="35"/>
        <v>65.316224811367434</v>
      </c>
      <c r="T112" s="485">
        <f t="shared" si="35"/>
        <v>12.558209740102626</v>
      </c>
      <c r="U112" s="485">
        <f t="shared" si="35"/>
        <v>0</v>
      </c>
      <c r="V112" s="485">
        <f t="shared" si="35"/>
        <v>0</v>
      </c>
      <c r="W112" s="485">
        <f t="shared" si="35"/>
        <v>77.874434551470074</v>
      </c>
    </row>
    <row r="113" spans="2:23" ht="16" x14ac:dyDescent="0.3">
      <c r="B113" s="302"/>
      <c r="C113" s="304"/>
      <c r="D113" s="881"/>
      <c r="E113" s="880"/>
      <c r="F113" s="881"/>
      <c r="G113" s="881"/>
      <c r="H113" s="881"/>
    </row>
    <row r="114" spans="2:23" x14ac:dyDescent="0.3">
      <c r="B114" s="1"/>
      <c r="C114" s="1"/>
      <c r="D114" s="1"/>
      <c r="E114" s="1"/>
      <c r="F114" s="1"/>
      <c r="G114" s="1"/>
      <c r="H114" s="1"/>
      <c r="I114" s="1"/>
      <c r="J114" s="1"/>
      <c r="K114" s="1"/>
      <c r="L114" s="1"/>
      <c r="M114" s="1"/>
      <c r="N114" s="1"/>
      <c r="O114" s="1"/>
      <c r="P114" s="1"/>
      <c r="Q114" s="1"/>
      <c r="R114" s="1"/>
    </row>
    <row r="115" spans="2:23" x14ac:dyDescent="0.3">
      <c r="B115" s="868" t="s">
        <v>344</v>
      </c>
      <c r="C115" s="1"/>
      <c r="D115" s="1"/>
      <c r="E115" s="1"/>
      <c r="F115" s="1"/>
      <c r="G115" s="1"/>
      <c r="H115" s="1"/>
      <c r="I115" s="1"/>
      <c r="J115" s="1"/>
      <c r="K115" s="1"/>
      <c r="L115" s="1"/>
      <c r="M115" s="1"/>
      <c r="N115" s="1"/>
      <c r="O115" s="1"/>
      <c r="P115" s="1"/>
      <c r="Q115" s="1"/>
      <c r="R115" s="1"/>
    </row>
    <row r="116" spans="2:23" x14ac:dyDescent="0.3">
      <c r="B116" s="868"/>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297" t="s">
        <v>10</v>
      </c>
      <c r="O117" s="1"/>
      <c r="P117" s="1"/>
      <c r="Q117" s="1"/>
    </row>
    <row r="118" spans="2:23" ht="15" customHeight="1" x14ac:dyDescent="0.3">
      <c r="B118" s="1521" t="s">
        <v>343</v>
      </c>
      <c r="C118" s="1521" t="s">
        <v>37</v>
      </c>
      <c r="D118" s="1649" t="s">
        <v>519</v>
      </c>
      <c r="E118" s="1650"/>
      <c r="F118" s="1650"/>
      <c r="G118" s="1650"/>
      <c r="H118" s="1651"/>
      <c r="I118" s="1652" t="s">
        <v>520</v>
      </c>
      <c r="J118" s="1652"/>
      <c r="K118" s="1652"/>
      <c r="L118" s="1652"/>
      <c r="M118" s="1652"/>
      <c r="N118" s="1648" t="s">
        <v>521</v>
      </c>
      <c r="O118" s="1648"/>
      <c r="P118" s="1648"/>
      <c r="Q118" s="1648"/>
      <c r="R118" s="1648"/>
      <c r="S118" s="1648" t="s">
        <v>940</v>
      </c>
      <c r="T118" s="1648"/>
      <c r="U118" s="1648"/>
      <c r="V118" s="1648"/>
      <c r="W118" s="1648"/>
    </row>
    <row r="119" spans="2:23" x14ac:dyDescent="0.3">
      <c r="B119" s="1521"/>
      <c r="C119" s="1521"/>
      <c r="D119" s="1654" t="s">
        <v>7</v>
      </c>
      <c r="E119" s="1655"/>
      <c r="F119" s="1655"/>
      <c r="G119" s="1655"/>
      <c r="H119" s="1655"/>
      <c r="I119" s="1654" t="s">
        <v>7</v>
      </c>
      <c r="J119" s="1655"/>
      <c r="K119" s="1655"/>
      <c r="L119" s="1655"/>
      <c r="M119" s="1655"/>
      <c r="N119" s="1652" t="s">
        <v>12</v>
      </c>
      <c r="O119" s="1653"/>
      <c r="P119" s="1653"/>
      <c r="Q119" s="1653"/>
      <c r="R119" s="1653"/>
      <c r="S119" s="1652" t="s">
        <v>21</v>
      </c>
      <c r="T119" s="1653"/>
      <c r="U119" s="1653"/>
      <c r="V119" s="1653"/>
      <c r="W119" s="1653"/>
    </row>
    <row r="120" spans="2:23" ht="42" x14ac:dyDescent="0.3">
      <c r="B120" s="1521"/>
      <c r="C120" s="1521"/>
      <c r="D120" s="869" t="s">
        <v>267</v>
      </c>
      <c r="E120" s="869" t="s">
        <v>268</v>
      </c>
      <c r="F120" s="303" t="s">
        <v>274</v>
      </c>
      <c r="G120" s="867" t="s">
        <v>601</v>
      </c>
      <c r="H120" s="869" t="s">
        <v>270</v>
      </c>
      <c r="I120" s="869" t="s">
        <v>267</v>
      </c>
      <c r="J120" s="869" t="s">
        <v>268</v>
      </c>
      <c r="K120" s="303" t="s">
        <v>274</v>
      </c>
      <c r="L120" s="867" t="s">
        <v>601</v>
      </c>
      <c r="M120" s="869" t="s">
        <v>270</v>
      </c>
      <c r="N120" s="869" t="s">
        <v>267</v>
      </c>
      <c r="O120" s="869" t="s">
        <v>268</v>
      </c>
      <c r="P120" s="303" t="s">
        <v>274</v>
      </c>
      <c r="Q120" s="867" t="s">
        <v>601</v>
      </c>
      <c r="R120" s="869" t="s">
        <v>270</v>
      </c>
      <c r="S120" s="869" t="s">
        <v>267</v>
      </c>
      <c r="T120" s="869" t="s">
        <v>268</v>
      </c>
      <c r="U120" s="303" t="s">
        <v>274</v>
      </c>
      <c r="V120" s="867" t="s">
        <v>601</v>
      </c>
      <c r="W120" s="869" t="s">
        <v>270</v>
      </c>
    </row>
    <row r="121" spans="2:23" ht="28" x14ac:dyDescent="0.3">
      <c r="B121" s="298"/>
      <c r="C121" s="298"/>
      <c r="D121" s="298" t="s">
        <v>81</v>
      </c>
      <c r="E121" s="298" t="s">
        <v>82</v>
      </c>
      <c r="F121" s="298" t="s">
        <v>472</v>
      </c>
      <c r="G121" s="298" t="s">
        <v>397</v>
      </c>
      <c r="H121" s="298" t="s">
        <v>602</v>
      </c>
      <c r="I121" s="298" t="s">
        <v>414</v>
      </c>
      <c r="J121" s="298" t="s">
        <v>522</v>
      </c>
      <c r="K121" s="298" t="s">
        <v>415</v>
      </c>
      <c r="L121" s="298" t="s">
        <v>416</v>
      </c>
      <c r="M121" s="298" t="s">
        <v>669</v>
      </c>
      <c r="N121" s="298" t="s">
        <v>609</v>
      </c>
      <c r="O121" s="298" t="s">
        <v>610</v>
      </c>
      <c r="P121" s="298" t="s">
        <v>611</v>
      </c>
      <c r="Q121" s="298" t="s">
        <v>673</v>
      </c>
      <c r="R121" s="298" t="s">
        <v>674</v>
      </c>
      <c r="S121" s="298" t="s">
        <v>675</v>
      </c>
      <c r="T121" s="298" t="s">
        <v>676</v>
      </c>
      <c r="U121" s="298" t="s">
        <v>677</v>
      </c>
      <c r="V121" s="298" t="s">
        <v>678</v>
      </c>
      <c r="W121" s="298" t="s">
        <v>679</v>
      </c>
    </row>
    <row r="122" spans="2:23" x14ac:dyDescent="0.3">
      <c r="B122" s="96">
        <v>1</v>
      </c>
      <c r="C122" s="632" t="s">
        <v>860</v>
      </c>
      <c r="D122" s="481">
        <f>D14-D68</f>
        <v>3.6840629179811686E-2</v>
      </c>
      <c r="E122" s="481">
        <f>E14-E68</f>
        <v>0</v>
      </c>
      <c r="F122" s="481">
        <f>F14-F68</f>
        <v>0</v>
      </c>
      <c r="G122" s="481">
        <f>G14-G68</f>
        <v>0</v>
      </c>
      <c r="H122" s="481">
        <f>D122+E122-F122-G122</f>
        <v>3.6840629179811686E-2</v>
      </c>
      <c r="I122" s="481">
        <f t="shared" ref="I122:L137" si="36">I14-I68</f>
        <v>3.6840629179811686E-2</v>
      </c>
      <c r="J122" s="481">
        <f t="shared" si="36"/>
        <v>0</v>
      </c>
      <c r="K122" s="481">
        <f t="shared" si="36"/>
        <v>0</v>
      </c>
      <c r="L122" s="481">
        <f t="shared" si="36"/>
        <v>0</v>
      </c>
      <c r="M122" s="483">
        <f>I122+J122-K122-L122</f>
        <v>3.6840629179811686E-2</v>
      </c>
      <c r="N122" s="481">
        <f t="shared" ref="N122:Q137" si="37">N14-N68</f>
        <v>3.6840629179811686E-2</v>
      </c>
      <c r="O122" s="481">
        <f t="shared" si="37"/>
        <v>0</v>
      </c>
      <c r="P122" s="481">
        <f t="shared" si="37"/>
        <v>0</v>
      </c>
      <c r="Q122" s="481">
        <f t="shared" si="37"/>
        <v>0</v>
      </c>
      <c r="R122" s="481">
        <f>N122+O122-P122-Q122</f>
        <v>3.6840629179811686E-2</v>
      </c>
      <c r="S122" s="481">
        <f t="shared" ref="S122:V137" si="38">S14-S68</f>
        <v>3.6840629179811686E-2</v>
      </c>
      <c r="T122" s="481">
        <f t="shared" si="38"/>
        <v>0</v>
      </c>
      <c r="U122" s="481">
        <f t="shared" si="38"/>
        <v>0</v>
      </c>
      <c r="V122" s="481">
        <f t="shared" si="38"/>
        <v>0</v>
      </c>
      <c r="W122" s="483">
        <f>S122+T122-U122-V122</f>
        <v>3.6840629179811686E-2</v>
      </c>
    </row>
    <row r="123" spans="2:23" x14ac:dyDescent="0.3">
      <c r="B123" s="96">
        <f>B122+1</f>
        <v>2</v>
      </c>
      <c r="C123" s="632" t="s">
        <v>255</v>
      </c>
      <c r="D123" s="481">
        <f t="shared" ref="D123:G138" si="39">D15-D69</f>
        <v>3.9098524173595273</v>
      </c>
      <c r="E123" s="481">
        <f t="shared" si="39"/>
        <v>-0.18756980515769583</v>
      </c>
      <c r="F123" s="481">
        <f t="shared" si="39"/>
        <v>0.76645671237520618</v>
      </c>
      <c r="G123" s="481">
        <f t="shared" si="39"/>
        <v>0</v>
      </c>
      <c r="H123" s="481">
        <f t="shared" ref="H123:H138" si="40">D123+E123-F123-G123</f>
        <v>2.9558258998266251</v>
      </c>
      <c r="I123" s="481">
        <f t="shared" si="36"/>
        <v>2.9558258998266247</v>
      </c>
      <c r="J123" s="481">
        <f t="shared" si="36"/>
        <v>2.4355963826485039</v>
      </c>
      <c r="K123" s="481">
        <f t="shared" si="36"/>
        <v>0.15672133097755897</v>
      </c>
      <c r="L123" s="481">
        <f t="shared" si="36"/>
        <v>0</v>
      </c>
      <c r="M123" s="483">
        <f t="shared" ref="M123:M138" si="41">I123+J123-K123-L123</f>
        <v>5.2347009514975689</v>
      </c>
      <c r="N123" s="481">
        <f t="shared" si="37"/>
        <v>5.2347009514975698</v>
      </c>
      <c r="O123" s="481">
        <f t="shared" si="37"/>
        <v>-0.3519196524960958</v>
      </c>
      <c r="P123" s="481">
        <f t="shared" si="37"/>
        <v>0</v>
      </c>
      <c r="Q123" s="481">
        <f t="shared" si="37"/>
        <v>0</v>
      </c>
      <c r="R123" s="481">
        <f t="shared" ref="R123:R138" si="42">N123+O123-P123-Q123</f>
        <v>4.8827812990014738</v>
      </c>
      <c r="S123" s="481">
        <f t="shared" si="38"/>
        <v>4.8827812990014738</v>
      </c>
      <c r="T123" s="878">
        <f t="shared" si="38"/>
        <v>-0.3519196524960958</v>
      </c>
      <c r="U123" s="481">
        <f t="shared" si="38"/>
        <v>0</v>
      </c>
      <c r="V123" s="481">
        <f t="shared" si="38"/>
        <v>0</v>
      </c>
      <c r="W123" s="483">
        <f t="shared" ref="W123:W138" si="43">S123+T123-U123-V123</f>
        <v>4.5308616465053779</v>
      </c>
    </row>
    <row r="124" spans="2:23" x14ac:dyDescent="0.3">
      <c r="B124" s="96">
        <f t="shared" ref="B124:B138" si="44">B123+1</f>
        <v>3</v>
      </c>
      <c r="C124" s="632" t="s">
        <v>861</v>
      </c>
      <c r="D124" s="481">
        <f t="shared" si="39"/>
        <v>0</v>
      </c>
      <c r="E124" s="481">
        <f t="shared" si="39"/>
        <v>0</v>
      </c>
      <c r="F124" s="481">
        <f t="shared" si="39"/>
        <v>0</v>
      </c>
      <c r="G124" s="481">
        <f t="shared" si="39"/>
        <v>0</v>
      </c>
      <c r="H124" s="481">
        <f t="shared" si="40"/>
        <v>0</v>
      </c>
      <c r="I124" s="481">
        <f t="shared" si="36"/>
        <v>0</v>
      </c>
      <c r="J124" s="481">
        <f t="shared" si="36"/>
        <v>0</v>
      </c>
      <c r="K124" s="481">
        <f t="shared" si="36"/>
        <v>0</v>
      </c>
      <c r="L124" s="481">
        <f t="shared" si="36"/>
        <v>0</v>
      </c>
      <c r="M124" s="483">
        <f t="shared" si="41"/>
        <v>0</v>
      </c>
      <c r="N124" s="481">
        <f t="shared" si="37"/>
        <v>0</v>
      </c>
      <c r="O124" s="481">
        <f t="shared" si="37"/>
        <v>0</v>
      </c>
      <c r="P124" s="481">
        <f t="shared" si="37"/>
        <v>0</v>
      </c>
      <c r="Q124" s="481">
        <f t="shared" si="37"/>
        <v>0</v>
      </c>
      <c r="R124" s="481">
        <f t="shared" si="42"/>
        <v>0</v>
      </c>
      <c r="S124" s="481">
        <f t="shared" si="38"/>
        <v>0</v>
      </c>
      <c r="T124" s="481">
        <f t="shared" si="38"/>
        <v>0.40787499999999999</v>
      </c>
      <c r="U124" s="481">
        <f t="shared" si="38"/>
        <v>0</v>
      </c>
      <c r="V124" s="481">
        <f t="shared" si="38"/>
        <v>0</v>
      </c>
      <c r="W124" s="483">
        <f t="shared" si="43"/>
        <v>0.40787499999999999</v>
      </c>
    </row>
    <row r="125" spans="2:23" x14ac:dyDescent="0.3">
      <c r="B125" s="96">
        <f t="shared" si="44"/>
        <v>4</v>
      </c>
      <c r="C125" s="632" t="s">
        <v>862</v>
      </c>
      <c r="D125" s="481">
        <f t="shared" si="39"/>
        <v>0.20808088821633952</v>
      </c>
      <c r="E125" s="481">
        <f t="shared" si="39"/>
        <v>-2.0955968180959062E-2</v>
      </c>
      <c r="F125" s="481">
        <f t="shared" si="39"/>
        <v>0</v>
      </c>
      <c r="G125" s="481">
        <f t="shared" si="39"/>
        <v>0</v>
      </c>
      <c r="H125" s="481">
        <f t="shared" si="40"/>
        <v>0.18712492003538045</v>
      </c>
      <c r="I125" s="481">
        <f t="shared" si="36"/>
        <v>0.1871249200353805</v>
      </c>
      <c r="J125" s="481">
        <f t="shared" si="36"/>
        <v>-1.2249338960548027E-2</v>
      </c>
      <c r="K125" s="481">
        <f t="shared" si="36"/>
        <v>0</v>
      </c>
      <c r="L125" s="481">
        <f t="shared" si="36"/>
        <v>0</v>
      </c>
      <c r="M125" s="483">
        <f t="shared" si="41"/>
        <v>0.17487558107483248</v>
      </c>
      <c r="N125" s="481">
        <f t="shared" si="37"/>
        <v>0.17487558107483236</v>
      </c>
      <c r="O125" s="481">
        <f t="shared" si="37"/>
        <v>-1.1934338960548019E-2</v>
      </c>
      <c r="P125" s="481">
        <f t="shared" si="37"/>
        <v>0</v>
      </c>
      <c r="Q125" s="481">
        <f t="shared" si="37"/>
        <v>0</v>
      </c>
      <c r="R125" s="481">
        <f t="shared" si="42"/>
        <v>0.16294124211428435</v>
      </c>
      <c r="S125" s="481">
        <f t="shared" si="38"/>
        <v>0.1629412421142844</v>
      </c>
      <c r="T125" s="481">
        <f t="shared" si="38"/>
        <v>-1.1934338960548029E-2</v>
      </c>
      <c r="U125" s="481">
        <f t="shared" si="38"/>
        <v>0</v>
      </c>
      <c r="V125" s="481">
        <f t="shared" si="38"/>
        <v>0</v>
      </c>
      <c r="W125" s="483">
        <f t="shared" si="43"/>
        <v>0.15100690315373638</v>
      </c>
    </row>
    <row r="126" spans="2:23" x14ac:dyDescent="0.3">
      <c r="B126" s="96">
        <f t="shared" si="44"/>
        <v>5</v>
      </c>
      <c r="C126" s="632" t="s">
        <v>863</v>
      </c>
      <c r="D126" s="481">
        <f t="shared" si="39"/>
        <v>7.577502254302062</v>
      </c>
      <c r="E126" s="481">
        <f t="shared" si="39"/>
        <v>3.7396466993158448</v>
      </c>
      <c r="F126" s="481">
        <f t="shared" si="39"/>
        <v>1.4687834239085573</v>
      </c>
      <c r="G126" s="481">
        <f t="shared" si="39"/>
        <v>0</v>
      </c>
      <c r="H126" s="481">
        <f t="shared" si="40"/>
        <v>9.8483655297093478</v>
      </c>
      <c r="I126" s="481">
        <f t="shared" si="36"/>
        <v>9.8483655297093478</v>
      </c>
      <c r="J126" s="481">
        <f t="shared" si="36"/>
        <v>-0.12686268042075527</v>
      </c>
      <c r="K126" s="481">
        <f t="shared" si="36"/>
        <v>0.10122255389952634</v>
      </c>
      <c r="L126" s="481">
        <f t="shared" si="36"/>
        <v>0</v>
      </c>
      <c r="M126" s="483">
        <f t="shared" si="41"/>
        <v>9.6202802953890654</v>
      </c>
      <c r="N126" s="481">
        <f t="shared" si="37"/>
        <v>9.6202802953890654</v>
      </c>
      <c r="O126" s="481">
        <f t="shared" si="37"/>
        <v>-0.39160124286075526</v>
      </c>
      <c r="P126" s="481">
        <f t="shared" si="37"/>
        <v>0</v>
      </c>
      <c r="Q126" s="481">
        <f t="shared" si="37"/>
        <v>0</v>
      </c>
      <c r="R126" s="481">
        <f t="shared" si="42"/>
        <v>9.2286790525283102</v>
      </c>
      <c r="S126" s="481">
        <f t="shared" si="38"/>
        <v>9.2286790525283102</v>
      </c>
      <c r="T126" s="481">
        <f t="shared" si="38"/>
        <v>12.574848090472578</v>
      </c>
      <c r="U126" s="481">
        <f t="shared" si="38"/>
        <v>0</v>
      </c>
      <c r="V126" s="481">
        <f t="shared" si="38"/>
        <v>0</v>
      </c>
      <c r="W126" s="483">
        <f t="shared" si="43"/>
        <v>21.803527143000888</v>
      </c>
    </row>
    <row r="127" spans="2:23" x14ac:dyDescent="0.3">
      <c r="B127" s="96">
        <f t="shared" si="44"/>
        <v>6</v>
      </c>
      <c r="C127" s="632" t="s">
        <v>254</v>
      </c>
      <c r="D127" s="481">
        <f t="shared" si="39"/>
        <v>1.6856808448182772</v>
      </c>
      <c r="E127" s="481">
        <f t="shared" si="39"/>
        <v>4.1986306106162417</v>
      </c>
      <c r="F127" s="481">
        <f t="shared" si="39"/>
        <v>0</v>
      </c>
      <c r="G127" s="481">
        <f t="shared" si="39"/>
        <v>0</v>
      </c>
      <c r="H127" s="481">
        <f t="shared" si="40"/>
        <v>5.8843114554345188</v>
      </c>
      <c r="I127" s="481">
        <f t="shared" si="36"/>
        <v>5.8843114554345188</v>
      </c>
      <c r="J127" s="481">
        <f t="shared" si="36"/>
        <v>2.8768212926738408</v>
      </c>
      <c r="K127" s="481">
        <f t="shared" si="36"/>
        <v>0</v>
      </c>
      <c r="L127" s="481">
        <f t="shared" si="36"/>
        <v>0</v>
      </c>
      <c r="M127" s="483">
        <f t="shared" si="41"/>
        <v>8.7611327481083592</v>
      </c>
      <c r="N127" s="481">
        <f t="shared" si="37"/>
        <v>8.761132748108361</v>
      </c>
      <c r="O127" s="481">
        <f t="shared" si="37"/>
        <v>45.768252214603443</v>
      </c>
      <c r="P127" s="481">
        <f t="shared" si="37"/>
        <v>0</v>
      </c>
      <c r="Q127" s="481">
        <f t="shared" si="37"/>
        <v>0</v>
      </c>
      <c r="R127" s="481">
        <f t="shared" si="42"/>
        <v>54.529384962711802</v>
      </c>
      <c r="S127" s="481">
        <f t="shared" si="38"/>
        <v>54.529384962711802</v>
      </c>
      <c r="T127" s="481">
        <f t="shared" si="38"/>
        <v>25.751736472270107</v>
      </c>
      <c r="U127" s="481">
        <f t="shared" si="38"/>
        <v>0</v>
      </c>
      <c r="V127" s="481">
        <f t="shared" si="38"/>
        <v>0</v>
      </c>
      <c r="W127" s="483">
        <f t="shared" si="43"/>
        <v>80.281121434981912</v>
      </c>
    </row>
    <row r="128" spans="2:23" x14ac:dyDescent="0.3">
      <c r="B128" s="96">
        <f t="shared" si="44"/>
        <v>7</v>
      </c>
      <c r="C128" s="632" t="s">
        <v>864</v>
      </c>
      <c r="D128" s="481">
        <f t="shared" si="39"/>
        <v>0.25024972009755142</v>
      </c>
      <c r="E128" s="481">
        <f t="shared" si="39"/>
        <v>5.6341964835668612E-3</v>
      </c>
      <c r="F128" s="481">
        <f t="shared" si="39"/>
        <v>0</v>
      </c>
      <c r="G128" s="481">
        <f t="shared" si="39"/>
        <v>0</v>
      </c>
      <c r="H128" s="481">
        <f t="shared" si="40"/>
        <v>0.25588391658111831</v>
      </c>
      <c r="I128" s="481">
        <f t="shared" si="36"/>
        <v>0.25588391658111831</v>
      </c>
      <c r="J128" s="481">
        <f t="shared" si="36"/>
        <v>0.41538378208356674</v>
      </c>
      <c r="K128" s="481">
        <f t="shared" si="36"/>
        <v>1.8019865084534147E-2</v>
      </c>
      <c r="L128" s="481">
        <f t="shared" si="36"/>
        <v>0</v>
      </c>
      <c r="M128" s="483">
        <f t="shared" si="41"/>
        <v>0.65324783358015093</v>
      </c>
      <c r="N128" s="481">
        <f t="shared" si="37"/>
        <v>0.65324783358015093</v>
      </c>
      <c r="O128" s="481">
        <f t="shared" si="37"/>
        <v>-0.21565443431643314</v>
      </c>
      <c r="P128" s="481">
        <f t="shared" si="37"/>
        <v>0</v>
      </c>
      <c r="Q128" s="481">
        <f t="shared" si="37"/>
        <v>0</v>
      </c>
      <c r="R128" s="481">
        <f t="shared" si="42"/>
        <v>0.43759339926371776</v>
      </c>
      <c r="S128" s="481">
        <f t="shared" si="38"/>
        <v>0.43759339926371776</v>
      </c>
      <c r="T128" s="481">
        <f t="shared" si="38"/>
        <v>0.33331792396019344</v>
      </c>
      <c r="U128" s="481">
        <f t="shared" si="38"/>
        <v>0</v>
      </c>
      <c r="V128" s="481">
        <f t="shared" si="38"/>
        <v>0</v>
      </c>
      <c r="W128" s="483">
        <f t="shared" si="43"/>
        <v>0.7709113232239112</v>
      </c>
    </row>
    <row r="129" spans="2:33" x14ac:dyDescent="0.3">
      <c r="B129" s="96">
        <f t="shared" si="44"/>
        <v>8</v>
      </c>
      <c r="C129" s="632" t="s">
        <v>865</v>
      </c>
      <c r="D129" s="481">
        <f t="shared" si="39"/>
        <v>0</v>
      </c>
      <c r="E129" s="481">
        <f t="shared" si="39"/>
        <v>0</v>
      </c>
      <c r="F129" s="481">
        <f t="shared" si="39"/>
        <v>0</v>
      </c>
      <c r="G129" s="481">
        <f t="shared" si="39"/>
        <v>0</v>
      </c>
      <c r="H129" s="481">
        <f t="shared" si="40"/>
        <v>0</v>
      </c>
      <c r="I129" s="481">
        <f t="shared" si="36"/>
        <v>0</v>
      </c>
      <c r="J129" s="481">
        <f t="shared" si="36"/>
        <v>0</v>
      </c>
      <c r="K129" s="481">
        <f t="shared" si="36"/>
        <v>0</v>
      </c>
      <c r="L129" s="481">
        <f t="shared" si="36"/>
        <v>0</v>
      </c>
      <c r="M129" s="483">
        <f t="shared" si="41"/>
        <v>0</v>
      </c>
      <c r="N129" s="481">
        <f t="shared" si="37"/>
        <v>0</v>
      </c>
      <c r="O129" s="481">
        <f t="shared" si="37"/>
        <v>0</v>
      </c>
      <c r="P129" s="481">
        <f t="shared" si="37"/>
        <v>0</v>
      </c>
      <c r="Q129" s="481">
        <f t="shared" si="37"/>
        <v>0</v>
      </c>
      <c r="R129" s="481">
        <f t="shared" si="42"/>
        <v>0</v>
      </c>
      <c r="S129" s="481">
        <f t="shared" si="38"/>
        <v>0</v>
      </c>
      <c r="T129" s="481">
        <f t="shared" si="38"/>
        <v>0</v>
      </c>
      <c r="U129" s="481">
        <f t="shared" si="38"/>
        <v>0</v>
      </c>
      <c r="V129" s="481">
        <f t="shared" si="38"/>
        <v>0</v>
      </c>
      <c r="W129" s="483">
        <f t="shared" si="43"/>
        <v>0</v>
      </c>
    </row>
    <row r="130" spans="2:33" x14ac:dyDescent="0.3">
      <c r="B130" s="96">
        <f t="shared" si="44"/>
        <v>9</v>
      </c>
      <c r="C130" s="632" t="s">
        <v>866</v>
      </c>
      <c r="D130" s="481">
        <f t="shared" si="39"/>
        <v>0.38502845487408477</v>
      </c>
      <c r="E130" s="481">
        <f t="shared" si="39"/>
        <v>-2.7484987195102662E-2</v>
      </c>
      <c r="F130" s="481">
        <f t="shared" si="39"/>
        <v>0</v>
      </c>
      <c r="G130" s="481">
        <f t="shared" si="39"/>
        <v>0</v>
      </c>
      <c r="H130" s="481">
        <f t="shared" si="40"/>
        <v>0.3575434676789821</v>
      </c>
      <c r="I130" s="481">
        <f t="shared" si="36"/>
        <v>0.35754346767898193</v>
      </c>
      <c r="J130" s="481">
        <f t="shared" si="36"/>
        <v>-1.5705706968630068E-2</v>
      </c>
      <c r="K130" s="481">
        <f t="shared" si="36"/>
        <v>0</v>
      </c>
      <c r="L130" s="481">
        <f t="shared" si="36"/>
        <v>0</v>
      </c>
      <c r="M130" s="483">
        <f t="shared" si="41"/>
        <v>0.34183776071035188</v>
      </c>
      <c r="N130" s="481">
        <f t="shared" si="37"/>
        <v>0.34183776071035199</v>
      </c>
      <c r="O130" s="481">
        <f t="shared" si="37"/>
        <v>-1.5705706968630089E-2</v>
      </c>
      <c r="P130" s="481">
        <f t="shared" si="37"/>
        <v>0</v>
      </c>
      <c r="Q130" s="481">
        <f t="shared" si="37"/>
        <v>0</v>
      </c>
      <c r="R130" s="481">
        <f t="shared" si="42"/>
        <v>0.32613205374172188</v>
      </c>
      <c r="S130" s="481">
        <f t="shared" si="38"/>
        <v>0.32613205374172205</v>
      </c>
      <c r="T130" s="481">
        <f t="shared" si="38"/>
        <v>-1.5705706968630117E-2</v>
      </c>
      <c r="U130" s="481">
        <f t="shared" si="38"/>
        <v>0</v>
      </c>
      <c r="V130" s="481">
        <f t="shared" si="38"/>
        <v>0</v>
      </c>
      <c r="W130" s="483">
        <f t="shared" si="43"/>
        <v>0.31042634677309194</v>
      </c>
    </row>
    <row r="131" spans="2:33" x14ac:dyDescent="0.3">
      <c r="B131" s="96">
        <f t="shared" si="44"/>
        <v>10</v>
      </c>
      <c r="C131" s="632" t="s">
        <v>258</v>
      </c>
      <c r="D131" s="481">
        <f t="shared" si="39"/>
        <v>0.24281111290209623</v>
      </c>
      <c r="E131" s="481">
        <f t="shared" si="39"/>
        <v>-1.9102489764270203E-2</v>
      </c>
      <c r="F131" s="481">
        <f t="shared" si="39"/>
        <v>0</v>
      </c>
      <c r="G131" s="481">
        <f t="shared" si="39"/>
        <v>0</v>
      </c>
      <c r="H131" s="481">
        <f t="shared" si="40"/>
        <v>0.22370862313782602</v>
      </c>
      <c r="I131" s="481">
        <f t="shared" si="36"/>
        <v>0.22370862313782602</v>
      </c>
      <c r="J131" s="481">
        <f t="shared" si="36"/>
        <v>-1.0915708436725831E-2</v>
      </c>
      <c r="K131" s="481">
        <f t="shared" si="36"/>
        <v>0</v>
      </c>
      <c r="L131" s="481">
        <f t="shared" si="36"/>
        <v>0</v>
      </c>
      <c r="M131" s="483">
        <f t="shared" si="41"/>
        <v>0.21279291470110021</v>
      </c>
      <c r="N131" s="481">
        <f t="shared" si="37"/>
        <v>0.21279291470110029</v>
      </c>
      <c r="O131" s="481">
        <f t="shared" si="37"/>
        <v>-1.0915708436725846E-2</v>
      </c>
      <c r="P131" s="481">
        <f t="shared" si="37"/>
        <v>0</v>
      </c>
      <c r="Q131" s="481">
        <f t="shared" si="37"/>
        <v>0</v>
      </c>
      <c r="R131" s="481">
        <f t="shared" si="42"/>
        <v>0.20187720626437444</v>
      </c>
      <c r="S131" s="481">
        <f t="shared" si="38"/>
        <v>0.20187720626437433</v>
      </c>
      <c r="T131" s="481">
        <f t="shared" si="38"/>
        <v>-1.0915708436725824E-2</v>
      </c>
      <c r="U131" s="481">
        <f t="shared" si="38"/>
        <v>0</v>
      </c>
      <c r="V131" s="481">
        <f t="shared" si="38"/>
        <v>0</v>
      </c>
      <c r="W131" s="483">
        <f t="shared" si="43"/>
        <v>0.19096149782764851</v>
      </c>
    </row>
    <row r="132" spans="2:33" x14ac:dyDescent="0.3">
      <c r="B132" s="96">
        <f t="shared" si="44"/>
        <v>11</v>
      </c>
      <c r="C132" s="632" t="s">
        <v>259</v>
      </c>
      <c r="D132" s="481">
        <f t="shared" si="39"/>
        <v>1.5426327787544454</v>
      </c>
      <c r="E132" s="481">
        <f t="shared" si="39"/>
        <v>-0.15756416901012821</v>
      </c>
      <c r="F132" s="481">
        <f t="shared" si="39"/>
        <v>-5.6049317713590611E-4</v>
      </c>
      <c r="G132" s="481">
        <f t="shared" si="39"/>
        <v>0</v>
      </c>
      <c r="H132" s="481">
        <f t="shared" si="40"/>
        <v>1.3856291029214531</v>
      </c>
      <c r="I132" s="481">
        <f t="shared" si="36"/>
        <v>1.3856291029214531</v>
      </c>
      <c r="J132" s="481">
        <f t="shared" si="36"/>
        <v>-9.4419039541378216E-2</v>
      </c>
      <c r="K132" s="481">
        <f t="shared" si="36"/>
        <v>0</v>
      </c>
      <c r="L132" s="481">
        <f t="shared" si="36"/>
        <v>0</v>
      </c>
      <c r="M132" s="483">
        <f t="shared" si="41"/>
        <v>1.2912100633800749</v>
      </c>
      <c r="N132" s="481">
        <f t="shared" si="37"/>
        <v>1.2912100633800749</v>
      </c>
      <c r="O132" s="481">
        <f t="shared" si="37"/>
        <v>-0.17809428476242822</v>
      </c>
      <c r="P132" s="481">
        <f t="shared" si="37"/>
        <v>0</v>
      </c>
      <c r="Q132" s="481">
        <f t="shared" si="37"/>
        <v>0</v>
      </c>
      <c r="R132" s="481">
        <f t="shared" si="42"/>
        <v>1.1131157786176467</v>
      </c>
      <c r="S132" s="481">
        <f t="shared" si="38"/>
        <v>1.1131157786176467</v>
      </c>
      <c r="T132" s="481">
        <f t="shared" si="38"/>
        <v>-0.16218869827568469</v>
      </c>
      <c r="U132" s="481">
        <f t="shared" si="38"/>
        <v>0</v>
      </c>
      <c r="V132" s="481">
        <f t="shared" si="38"/>
        <v>0</v>
      </c>
      <c r="W132" s="483">
        <f t="shared" si="43"/>
        <v>0.95092708034196194</v>
      </c>
    </row>
    <row r="133" spans="2:33" x14ac:dyDescent="0.3">
      <c r="B133" s="96">
        <f t="shared" si="44"/>
        <v>12</v>
      </c>
      <c r="C133" s="632" t="s">
        <v>260</v>
      </c>
      <c r="D133" s="481">
        <f t="shared" si="39"/>
        <v>1.3422096886542416</v>
      </c>
      <c r="E133" s="481">
        <f t="shared" si="39"/>
        <v>-0.15699118991313016</v>
      </c>
      <c r="F133" s="481">
        <f t="shared" si="39"/>
        <v>5.8062255519458425E-4</v>
      </c>
      <c r="G133" s="481">
        <f t="shared" si="39"/>
        <v>0</v>
      </c>
      <c r="H133" s="481">
        <f t="shared" si="40"/>
        <v>1.1846378761859169</v>
      </c>
      <c r="I133" s="481">
        <f t="shared" si="36"/>
        <v>1.1846378761859171</v>
      </c>
      <c r="J133" s="481">
        <f t="shared" si="36"/>
        <v>-7.9465740482801417E-3</v>
      </c>
      <c r="K133" s="481">
        <f t="shared" si="36"/>
        <v>0</v>
      </c>
      <c r="L133" s="481">
        <f t="shared" si="36"/>
        <v>0</v>
      </c>
      <c r="M133" s="483">
        <f t="shared" si="41"/>
        <v>1.1766913021376371</v>
      </c>
      <c r="N133" s="481">
        <f t="shared" si="37"/>
        <v>1.1766913021376371</v>
      </c>
      <c r="O133" s="481">
        <f t="shared" si="37"/>
        <v>-0.14707064229533015</v>
      </c>
      <c r="P133" s="481">
        <f t="shared" si="37"/>
        <v>0</v>
      </c>
      <c r="Q133" s="481">
        <f t="shared" si="37"/>
        <v>0</v>
      </c>
      <c r="R133" s="481">
        <f t="shared" si="42"/>
        <v>1.029620659842307</v>
      </c>
      <c r="S133" s="481">
        <f t="shared" si="38"/>
        <v>1.0296206598423068</v>
      </c>
      <c r="T133" s="481">
        <f t="shared" si="38"/>
        <v>-0.16382040853033014</v>
      </c>
      <c r="U133" s="481">
        <f t="shared" si="38"/>
        <v>0</v>
      </c>
      <c r="V133" s="481">
        <f t="shared" si="38"/>
        <v>0</v>
      </c>
      <c r="W133" s="483">
        <f t="shared" si="43"/>
        <v>0.86580025131197669</v>
      </c>
    </row>
    <row r="134" spans="2:33" x14ac:dyDescent="0.3">
      <c r="B134" s="96">
        <f t="shared" si="44"/>
        <v>13</v>
      </c>
      <c r="C134" s="497" t="s">
        <v>874</v>
      </c>
      <c r="D134" s="481">
        <f t="shared" si="39"/>
        <v>0</v>
      </c>
      <c r="E134" s="481">
        <f t="shared" si="39"/>
        <v>0</v>
      </c>
      <c r="F134" s="481">
        <f t="shared" si="39"/>
        <v>0</v>
      </c>
      <c r="G134" s="481">
        <f t="shared" si="39"/>
        <v>0</v>
      </c>
      <c r="H134" s="481">
        <f t="shared" si="40"/>
        <v>0</v>
      </c>
      <c r="I134" s="481">
        <f t="shared" si="36"/>
        <v>0</v>
      </c>
      <c r="J134" s="481">
        <f t="shared" si="36"/>
        <v>0</v>
      </c>
      <c r="K134" s="481">
        <f t="shared" si="36"/>
        <v>0</v>
      </c>
      <c r="L134" s="481">
        <f t="shared" si="36"/>
        <v>0</v>
      </c>
      <c r="M134" s="483">
        <f t="shared" si="41"/>
        <v>0</v>
      </c>
      <c r="N134" s="481">
        <f t="shared" si="37"/>
        <v>0</v>
      </c>
      <c r="O134" s="481">
        <f t="shared" si="37"/>
        <v>0</v>
      </c>
      <c r="P134" s="481">
        <f t="shared" si="37"/>
        <v>0</v>
      </c>
      <c r="Q134" s="481">
        <f t="shared" si="37"/>
        <v>0</v>
      </c>
      <c r="R134" s="481">
        <f t="shared" si="42"/>
        <v>0</v>
      </c>
      <c r="S134" s="481">
        <f t="shared" si="38"/>
        <v>0</v>
      </c>
      <c r="T134" s="481">
        <f t="shared" si="38"/>
        <v>0</v>
      </c>
      <c r="U134" s="481">
        <f t="shared" si="38"/>
        <v>0</v>
      </c>
      <c r="V134" s="481">
        <f t="shared" si="38"/>
        <v>0</v>
      </c>
      <c r="W134" s="483">
        <f t="shared" si="43"/>
        <v>0</v>
      </c>
    </row>
    <row r="135" spans="2:33" x14ac:dyDescent="0.3">
      <c r="B135" s="96">
        <f t="shared" si="44"/>
        <v>14</v>
      </c>
      <c r="C135" s="497" t="s">
        <v>875</v>
      </c>
      <c r="D135" s="481">
        <f t="shared" si="39"/>
        <v>0</v>
      </c>
      <c r="E135" s="481">
        <f t="shared" si="39"/>
        <v>0</v>
      </c>
      <c r="F135" s="481">
        <f t="shared" si="39"/>
        <v>0</v>
      </c>
      <c r="G135" s="481">
        <f t="shared" si="39"/>
        <v>0</v>
      </c>
      <c r="H135" s="481">
        <f t="shared" si="40"/>
        <v>0</v>
      </c>
      <c r="I135" s="481">
        <f t="shared" si="36"/>
        <v>0</v>
      </c>
      <c r="J135" s="481">
        <f t="shared" si="36"/>
        <v>0</v>
      </c>
      <c r="K135" s="481">
        <f t="shared" si="36"/>
        <v>0</v>
      </c>
      <c r="L135" s="481">
        <f t="shared" si="36"/>
        <v>0</v>
      </c>
      <c r="M135" s="483">
        <f t="shared" si="41"/>
        <v>0</v>
      </c>
      <c r="N135" s="481">
        <f t="shared" si="37"/>
        <v>0</v>
      </c>
      <c r="O135" s="481">
        <f t="shared" si="37"/>
        <v>0</v>
      </c>
      <c r="P135" s="481">
        <f t="shared" si="37"/>
        <v>0</v>
      </c>
      <c r="Q135" s="481">
        <f t="shared" si="37"/>
        <v>0</v>
      </c>
      <c r="R135" s="481">
        <f t="shared" si="42"/>
        <v>0</v>
      </c>
      <c r="S135" s="481">
        <f t="shared" si="38"/>
        <v>0</v>
      </c>
      <c r="T135" s="481">
        <f t="shared" si="38"/>
        <v>0</v>
      </c>
      <c r="U135" s="481">
        <f t="shared" si="38"/>
        <v>0</v>
      </c>
      <c r="V135" s="481">
        <f t="shared" si="38"/>
        <v>0</v>
      </c>
      <c r="W135" s="483">
        <f t="shared" si="43"/>
        <v>0</v>
      </c>
    </row>
    <row r="136" spans="2:33" x14ac:dyDescent="0.3">
      <c r="B136" s="96">
        <f t="shared" si="44"/>
        <v>15</v>
      </c>
      <c r="C136" s="497" t="s">
        <v>876</v>
      </c>
      <c r="D136" s="481">
        <f t="shared" si="39"/>
        <v>0</v>
      </c>
      <c r="E136" s="481">
        <f t="shared" si="39"/>
        <v>0</v>
      </c>
      <c r="F136" s="481">
        <f t="shared" si="39"/>
        <v>0</v>
      </c>
      <c r="G136" s="481">
        <f t="shared" si="39"/>
        <v>0</v>
      </c>
      <c r="H136" s="481">
        <f t="shared" si="40"/>
        <v>0</v>
      </c>
      <c r="I136" s="481">
        <f t="shared" si="36"/>
        <v>0</v>
      </c>
      <c r="J136" s="481">
        <f t="shared" si="36"/>
        <v>0</v>
      </c>
      <c r="K136" s="481">
        <f t="shared" si="36"/>
        <v>0</v>
      </c>
      <c r="L136" s="481">
        <f t="shared" si="36"/>
        <v>0</v>
      </c>
      <c r="M136" s="483">
        <f t="shared" si="41"/>
        <v>0</v>
      </c>
      <c r="N136" s="481">
        <f t="shared" si="37"/>
        <v>0</v>
      </c>
      <c r="O136" s="481">
        <f t="shared" si="37"/>
        <v>0</v>
      </c>
      <c r="P136" s="481">
        <f t="shared" si="37"/>
        <v>0</v>
      </c>
      <c r="Q136" s="481">
        <f t="shared" si="37"/>
        <v>0</v>
      </c>
      <c r="R136" s="481">
        <f t="shared" si="42"/>
        <v>0</v>
      </c>
      <c r="S136" s="481">
        <f t="shared" si="38"/>
        <v>0</v>
      </c>
      <c r="T136" s="481">
        <f t="shared" si="38"/>
        <v>0</v>
      </c>
      <c r="U136" s="481">
        <f t="shared" si="38"/>
        <v>0</v>
      </c>
      <c r="V136" s="481">
        <f t="shared" si="38"/>
        <v>0</v>
      </c>
      <c r="W136" s="483">
        <f t="shared" si="43"/>
        <v>0</v>
      </c>
    </row>
    <row r="137" spans="2:33" x14ac:dyDescent="0.3">
      <c r="B137" s="96">
        <f t="shared" si="44"/>
        <v>16</v>
      </c>
      <c r="C137" s="497" t="s">
        <v>867</v>
      </c>
      <c r="D137" s="481">
        <f t="shared" si="39"/>
        <v>0.14240192783512184</v>
      </c>
      <c r="E137" s="481">
        <f t="shared" si="39"/>
        <v>-2.8480385567024369E-2</v>
      </c>
      <c r="F137" s="481">
        <f t="shared" si="39"/>
        <v>0</v>
      </c>
      <c r="G137" s="481">
        <f t="shared" si="39"/>
        <v>0</v>
      </c>
      <c r="H137" s="481">
        <f t="shared" si="40"/>
        <v>0.11392154226809748</v>
      </c>
      <c r="I137" s="481">
        <f t="shared" si="36"/>
        <v>0.11392154226809748</v>
      </c>
      <c r="J137" s="481">
        <f t="shared" si="36"/>
        <v>-1.6274506038299639E-2</v>
      </c>
      <c r="K137" s="481">
        <f t="shared" si="36"/>
        <v>0</v>
      </c>
      <c r="L137" s="481">
        <f t="shared" si="36"/>
        <v>0</v>
      </c>
      <c r="M137" s="483">
        <f t="shared" si="41"/>
        <v>9.764703622979784E-2</v>
      </c>
      <c r="N137" s="481">
        <f t="shared" si="37"/>
        <v>9.7647036229797868E-2</v>
      </c>
      <c r="O137" s="481">
        <f t="shared" si="37"/>
        <v>-1.6274506038299646E-2</v>
      </c>
      <c r="P137" s="481">
        <f t="shared" si="37"/>
        <v>0</v>
      </c>
      <c r="Q137" s="481">
        <f t="shared" si="37"/>
        <v>0</v>
      </c>
      <c r="R137" s="481">
        <f t="shared" si="42"/>
        <v>8.1372530191498219E-2</v>
      </c>
      <c r="S137" s="481">
        <f t="shared" si="38"/>
        <v>8.137253019149826E-2</v>
      </c>
      <c r="T137" s="481">
        <f t="shared" si="38"/>
        <v>-1.6274506038299653E-2</v>
      </c>
      <c r="U137" s="481">
        <f t="shared" si="38"/>
        <v>0</v>
      </c>
      <c r="V137" s="481">
        <f t="shared" si="38"/>
        <v>0</v>
      </c>
      <c r="W137" s="483">
        <f t="shared" si="43"/>
        <v>6.5098024153198611E-2</v>
      </c>
    </row>
    <row r="138" spans="2:33" x14ac:dyDescent="0.3">
      <c r="B138" s="96">
        <f t="shared" si="44"/>
        <v>17</v>
      </c>
      <c r="C138" s="497" t="s">
        <v>877</v>
      </c>
      <c r="D138" s="481">
        <f t="shared" si="39"/>
        <v>-5.6340226071562869</v>
      </c>
      <c r="E138" s="481">
        <f t="shared" si="39"/>
        <v>4.0077621739999998</v>
      </c>
      <c r="F138" s="481">
        <f t="shared" si="39"/>
        <v>0</v>
      </c>
      <c r="G138" s="481">
        <f t="shared" si="39"/>
        <v>0</v>
      </c>
      <c r="H138" s="481">
        <f t="shared" si="40"/>
        <v>-1.6262604331562871</v>
      </c>
      <c r="I138" s="481">
        <f t="shared" ref="I138:L138" si="45">I30-I84</f>
        <v>-1.6262604331562871</v>
      </c>
      <c r="J138" s="481">
        <f t="shared" si="45"/>
        <v>0</v>
      </c>
      <c r="K138" s="481">
        <f t="shared" si="45"/>
        <v>0</v>
      </c>
      <c r="L138" s="481">
        <f t="shared" si="45"/>
        <v>0</v>
      </c>
      <c r="M138" s="483">
        <f t="shared" si="41"/>
        <v>-1.6262604331562871</v>
      </c>
      <c r="N138" s="481">
        <f t="shared" ref="N138:Q138" si="46">N30-N84</f>
        <v>-1.6262604331562871</v>
      </c>
      <c r="O138" s="481">
        <f t="shared" si="46"/>
        <v>0</v>
      </c>
      <c r="P138" s="481">
        <f t="shared" si="46"/>
        <v>0</v>
      </c>
      <c r="Q138" s="481">
        <f t="shared" si="46"/>
        <v>0</v>
      </c>
      <c r="R138" s="481">
        <f t="shared" si="42"/>
        <v>-1.6262604331562871</v>
      </c>
      <c r="S138" s="481">
        <f t="shared" ref="S138:V138" si="47">S30-S84</f>
        <v>-1.6262604331562871</v>
      </c>
      <c r="T138" s="481">
        <f t="shared" si="47"/>
        <v>0.11471833333333332</v>
      </c>
      <c r="U138" s="481">
        <f t="shared" si="47"/>
        <v>0</v>
      </c>
      <c r="V138" s="481">
        <f t="shared" si="47"/>
        <v>0</v>
      </c>
      <c r="W138" s="483">
        <f t="shared" si="43"/>
        <v>-1.5115420998229538</v>
      </c>
    </row>
    <row r="139" spans="2:33" ht="16" x14ac:dyDescent="0.3">
      <c r="B139" s="84"/>
      <c r="C139" s="99" t="s">
        <v>271</v>
      </c>
      <c r="D139" s="485">
        <f>SUM(D122:D137)</f>
        <v>17.323290716993558</v>
      </c>
      <c r="E139" s="485">
        <f t="shared" ref="E139:W139" si="48">SUM(E122:E137)</f>
        <v>7.345762511627342</v>
      </c>
      <c r="F139" s="485">
        <f t="shared" si="48"/>
        <v>2.2352602656618226</v>
      </c>
      <c r="G139" s="485">
        <f t="shared" si="48"/>
        <v>0</v>
      </c>
      <c r="H139" s="485">
        <f t="shared" si="48"/>
        <v>22.433792962959082</v>
      </c>
      <c r="I139" s="485">
        <f t="shared" si="48"/>
        <v>22.433792962959082</v>
      </c>
      <c r="J139" s="485">
        <f t="shared" si="48"/>
        <v>5.443427902991294</v>
      </c>
      <c r="K139" s="485">
        <f t="shared" si="48"/>
        <v>0.27596374996161943</v>
      </c>
      <c r="L139" s="485">
        <f t="shared" si="48"/>
        <v>0</v>
      </c>
      <c r="M139" s="485">
        <f t="shared" si="48"/>
        <v>27.601257115988751</v>
      </c>
      <c r="N139" s="485">
        <f t="shared" si="48"/>
        <v>27.601257115988751</v>
      </c>
      <c r="O139" s="485">
        <f t="shared" si="48"/>
        <v>44.429081697468185</v>
      </c>
      <c r="P139" s="485">
        <f t="shared" si="48"/>
        <v>0</v>
      </c>
      <c r="Q139" s="485">
        <f t="shared" si="48"/>
        <v>0</v>
      </c>
      <c r="R139" s="485">
        <f t="shared" si="48"/>
        <v>72.030338813456936</v>
      </c>
      <c r="S139" s="485">
        <f t="shared" si="48"/>
        <v>72.030338813456936</v>
      </c>
      <c r="T139" s="485">
        <f t="shared" si="48"/>
        <v>38.335018466996566</v>
      </c>
      <c r="U139" s="485">
        <f t="shared" si="48"/>
        <v>0</v>
      </c>
      <c r="V139" s="485">
        <f t="shared" si="48"/>
        <v>0</v>
      </c>
      <c r="W139" s="485">
        <f t="shared" si="48"/>
        <v>110.36535728045352</v>
      </c>
    </row>
    <row r="140" spans="2:33" ht="16" x14ac:dyDescent="0.3">
      <c r="B140" s="302"/>
      <c r="C140" s="304"/>
      <c r="D140" s="304"/>
      <c r="E140" s="304"/>
      <c r="F140" s="304"/>
      <c r="G140" s="304"/>
      <c r="H140" s="304"/>
      <c r="I140" s="302"/>
      <c r="J140" s="302"/>
      <c r="K140" s="302"/>
      <c r="L140" s="302"/>
      <c r="M140" s="302"/>
      <c r="N140" s="302"/>
      <c r="O140" s="302"/>
      <c r="P140" s="302"/>
      <c r="Q140" s="302"/>
      <c r="R140" s="302"/>
      <c r="S140" s="43"/>
      <c r="T140" s="43"/>
      <c r="U140" s="43"/>
      <c r="V140" s="43"/>
      <c r="W140" s="43"/>
      <c r="X140" s="43"/>
      <c r="Y140" s="43"/>
      <c r="Z140" s="43"/>
      <c r="AA140" s="43"/>
      <c r="AB140" s="43"/>
      <c r="AC140" s="43"/>
      <c r="AD140" s="43"/>
      <c r="AE140" s="43"/>
      <c r="AF140" s="43"/>
      <c r="AG140" s="43"/>
    </row>
    <row r="141" spans="2:33" ht="16" x14ac:dyDescent="0.3">
      <c r="B141" s="882" t="s">
        <v>614</v>
      </c>
      <c r="C141" s="305"/>
      <c r="D141" s="305"/>
      <c r="E141" s="305"/>
      <c r="F141" s="305"/>
      <c r="G141" s="304"/>
      <c r="H141" s="304"/>
      <c r="I141" s="302"/>
      <c r="J141" s="302"/>
      <c r="K141" s="302"/>
      <c r="L141" s="302"/>
      <c r="M141" s="302"/>
      <c r="N141" s="302"/>
      <c r="O141" s="302"/>
      <c r="P141" s="302"/>
      <c r="Q141" s="302"/>
      <c r="R141" s="302"/>
      <c r="S141" s="43"/>
      <c r="T141" s="43"/>
      <c r="U141" s="43"/>
      <c r="V141" s="43"/>
      <c r="W141" s="43"/>
      <c r="X141" s="43"/>
      <c r="Y141" s="43"/>
      <c r="Z141" s="43"/>
      <c r="AA141" s="43"/>
      <c r="AB141" s="43"/>
      <c r="AC141" s="43"/>
      <c r="AD141" s="43"/>
      <c r="AE141" s="43"/>
      <c r="AF141" s="43"/>
      <c r="AG141" s="43"/>
    </row>
    <row r="142" spans="2:33" ht="16" x14ac:dyDescent="0.3">
      <c r="B142" s="302"/>
      <c r="C142" s="304"/>
      <c r="D142" s="304"/>
      <c r="E142" s="304"/>
      <c r="F142" s="304"/>
      <c r="G142" s="304"/>
      <c r="H142" s="304"/>
      <c r="I142" s="302"/>
      <c r="J142" s="302"/>
      <c r="K142" s="302"/>
      <c r="L142" s="302"/>
      <c r="M142" s="302"/>
      <c r="N142" s="302"/>
      <c r="O142" s="302"/>
      <c r="P142" s="302"/>
      <c r="Q142" s="302"/>
      <c r="R142" s="302"/>
      <c r="S142" s="43"/>
      <c r="T142" s="43"/>
      <c r="U142" s="43"/>
      <c r="V142" s="43"/>
      <c r="W142" s="43"/>
      <c r="X142" s="43"/>
      <c r="Y142" s="43"/>
      <c r="Z142" s="43"/>
      <c r="AA142" s="43"/>
      <c r="AB142" s="43"/>
      <c r="AC142" s="43"/>
      <c r="AD142" s="43"/>
      <c r="AE142" s="43"/>
      <c r="AF142" s="43"/>
      <c r="AG142" s="43"/>
    </row>
    <row r="143" spans="2:33" ht="15" customHeight="1" x14ac:dyDescent="0.3">
      <c r="B143" s="302"/>
      <c r="C143" s="304"/>
      <c r="D143" s="8"/>
      <c r="E143" s="8"/>
      <c r="F143" s="8"/>
      <c r="G143" s="8"/>
      <c r="H143" s="8"/>
      <c r="I143" s="1"/>
      <c r="J143" s="42"/>
      <c r="K143" s="1"/>
      <c r="L143" s="1"/>
      <c r="M143" s="42"/>
      <c r="N143" s="42"/>
      <c r="O143" s="1"/>
      <c r="P143" s="1"/>
      <c r="Q143" s="1"/>
      <c r="AG143" s="297" t="s">
        <v>10</v>
      </c>
    </row>
    <row r="144" spans="2:33" ht="13.75" customHeight="1" x14ac:dyDescent="0.3">
      <c r="B144" s="1521" t="s">
        <v>343</v>
      </c>
      <c r="C144" s="1521" t="s">
        <v>37</v>
      </c>
      <c r="D144" s="1656" t="s">
        <v>941</v>
      </c>
      <c r="E144" s="1657"/>
      <c r="F144" s="1657"/>
      <c r="G144" s="1657"/>
      <c r="H144" s="1658"/>
      <c r="I144" s="1656" t="s">
        <v>945</v>
      </c>
      <c r="J144" s="1657"/>
      <c r="K144" s="1657"/>
      <c r="L144" s="1657"/>
      <c r="M144" s="1658"/>
      <c r="N144" s="1648" t="s">
        <v>942</v>
      </c>
      <c r="O144" s="1648"/>
      <c r="P144" s="1648"/>
      <c r="Q144" s="1648"/>
      <c r="R144" s="1648"/>
      <c r="S144" s="1648" t="s">
        <v>944</v>
      </c>
      <c r="T144" s="1648"/>
      <c r="U144" s="1648"/>
      <c r="V144" s="1648"/>
      <c r="W144" s="1648"/>
    </row>
    <row r="145" spans="2:23" x14ac:dyDescent="0.3">
      <c r="B145" s="1521"/>
      <c r="C145" s="1521"/>
      <c r="D145" s="1649" t="s">
        <v>21</v>
      </c>
      <c r="E145" s="1650"/>
      <c r="F145" s="1650"/>
      <c r="G145" s="1650"/>
      <c r="H145" s="1651"/>
      <c r="I145" s="1649" t="s">
        <v>21</v>
      </c>
      <c r="J145" s="1650"/>
      <c r="K145" s="1650"/>
      <c r="L145" s="1650"/>
      <c r="M145" s="1651"/>
      <c r="N145" s="1652" t="s">
        <v>21</v>
      </c>
      <c r="O145" s="1653"/>
      <c r="P145" s="1653"/>
      <c r="Q145" s="1653"/>
      <c r="R145" s="1653"/>
      <c r="S145" s="1652" t="s">
        <v>21</v>
      </c>
      <c r="T145" s="1653"/>
      <c r="U145" s="1653"/>
      <c r="V145" s="1653"/>
      <c r="W145" s="1653"/>
    </row>
    <row r="146" spans="2:23" ht="42" x14ac:dyDescent="0.3">
      <c r="B146" s="1521"/>
      <c r="C146" s="1521"/>
      <c r="D146" s="869" t="s">
        <v>267</v>
      </c>
      <c r="E146" s="869" t="s">
        <v>268</v>
      </c>
      <c r="F146" s="303" t="s">
        <v>274</v>
      </c>
      <c r="G146" s="867" t="s">
        <v>601</v>
      </c>
      <c r="H146" s="869" t="s">
        <v>270</v>
      </c>
      <c r="I146" s="869" t="s">
        <v>267</v>
      </c>
      <c r="J146" s="869" t="s">
        <v>268</v>
      </c>
      <c r="K146" s="869" t="s">
        <v>269</v>
      </c>
      <c r="L146" s="867" t="s">
        <v>601</v>
      </c>
      <c r="M146" s="869" t="s">
        <v>270</v>
      </c>
      <c r="N146" s="869" t="s">
        <v>267</v>
      </c>
      <c r="O146" s="869" t="s">
        <v>268</v>
      </c>
      <c r="P146" s="869" t="s">
        <v>269</v>
      </c>
      <c r="Q146" s="867" t="s">
        <v>601</v>
      </c>
      <c r="R146" s="869" t="s">
        <v>270</v>
      </c>
      <c r="S146" s="869" t="s">
        <v>267</v>
      </c>
      <c r="T146" s="869" t="s">
        <v>268</v>
      </c>
      <c r="U146" s="869" t="s">
        <v>269</v>
      </c>
      <c r="V146" s="867" t="s">
        <v>601</v>
      </c>
      <c r="W146" s="869" t="s">
        <v>270</v>
      </c>
    </row>
    <row r="147" spans="2:23" ht="28" x14ac:dyDescent="0.3">
      <c r="B147" s="298"/>
      <c r="C147" s="298"/>
      <c r="D147" s="298" t="s">
        <v>680</v>
      </c>
      <c r="E147" s="298" t="s">
        <v>681</v>
      </c>
      <c r="F147" s="298" t="s">
        <v>682</v>
      </c>
      <c r="G147" s="298" t="s">
        <v>683</v>
      </c>
      <c r="H147" s="298" t="s">
        <v>684</v>
      </c>
      <c r="I147" s="298" t="s">
        <v>680</v>
      </c>
      <c r="J147" s="298" t="s">
        <v>681</v>
      </c>
      <c r="K147" s="298" t="s">
        <v>682</v>
      </c>
      <c r="L147" s="298" t="s">
        <v>683</v>
      </c>
      <c r="M147" s="298" t="s">
        <v>684</v>
      </c>
      <c r="N147" s="298" t="s">
        <v>680</v>
      </c>
      <c r="O147" s="298" t="s">
        <v>681</v>
      </c>
      <c r="P147" s="298" t="s">
        <v>682</v>
      </c>
      <c r="Q147" s="298" t="s">
        <v>683</v>
      </c>
      <c r="R147" s="298" t="s">
        <v>684</v>
      </c>
      <c r="S147" s="298" t="s">
        <v>680</v>
      </c>
      <c r="T147" s="298" t="s">
        <v>681</v>
      </c>
      <c r="U147" s="298" t="s">
        <v>682</v>
      </c>
      <c r="V147" s="298" t="s">
        <v>683</v>
      </c>
      <c r="W147" s="298" t="s">
        <v>684</v>
      </c>
    </row>
    <row r="148" spans="2:23" x14ac:dyDescent="0.3">
      <c r="B148" s="96">
        <v>1</v>
      </c>
      <c r="C148" s="632" t="s">
        <v>860</v>
      </c>
      <c r="D148" s="481">
        <f t="shared" ref="D148:G163" si="49">D40-D95</f>
        <v>3.6840629179811686E-2</v>
      </c>
      <c r="E148" s="481">
        <f t="shared" si="49"/>
        <v>0</v>
      </c>
      <c r="F148" s="481">
        <f t="shared" si="49"/>
        <v>0</v>
      </c>
      <c r="G148" s="481">
        <f t="shared" si="49"/>
        <v>0</v>
      </c>
      <c r="H148" s="483">
        <f>D148+E148-F148-G148</f>
        <v>3.6840629179811686E-2</v>
      </c>
      <c r="I148" s="494">
        <f>H148</f>
        <v>3.6840629179811686E-2</v>
      </c>
      <c r="J148" s="498"/>
      <c r="K148" s="494"/>
      <c r="L148" s="498"/>
      <c r="M148" s="494">
        <f>I148+J148-K148-L148</f>
        <v>3.6840629179811686E-2</v>
      </c>
      <c r="N148" s="494">
        <f>M148</f>
        <v>3.6840629179811686E-2</v>
      </c>
      <c r="O148" s="498"/>
      <c r="P148" s="494"/>
      <c r="Q148" s="498"/>
      <c r="R148" s="494">
        <f>N148+O148-P148-Q148</f>
        <v>3.6840629179811686E-2</v>
      </c>
      <c r="S148" s="494">
        <f>R148</f>
        <v>3.6840629179811686E-2</v>
      </c>
      <c r="T148" s="498"/>
      <c r="U148" s="494"/>
      <c r="V148" s="498"/>
      <c r="W148" s="494">
        <f>S148+T148-U148-V148</f>
        <v>3.6840629179811686E-2</v>
      </c>
    </row>
    <row r="149" spans="2:23" x14ac:dyDescent="0.3">
      <c r="B149" s="96">
        <f>B148+1</f>
        <v>2</v>
      </c>
      <c r="C149" s="632" t="s">
        <v>255</v>
      </c>
      <c r="D149" s="481">
        <f t="shared" si="49"/>
        <v>4.5308616465053779</v>
      </c>
      <c r="E149" s="481">
        <f t="shared" si="49"/>
        <v>-0.3519196524960958</v>
      </c>
      <c r="F149" s="481">
        <f t="shared" si="49"/>
        <v>0</v>
      </c>
      <c r="G149" s="481">
        <f t="shared" si="49"/>
        <v>0</v>
      </c>
      <c r="H149" s="483">
        <f t="shared" ref="H149:H164" si="50">D149+E149-F149-G149</f>
        <v>4.178941994009282</v>
      </c>
      <c r="I149" s="494">
        <f t="shared" ref="I149:I164" si="51">H149</f>
        <v>4.178941994009282</v>
      </c>
      <c r="J149" s="498"/>
      <c r="K149" s="494"/>
      <c r="L149" s="498"/>
      <c r="M149" s="494">
        <f t="shared" ref="M149:M164" si="52">I149+J149-K149-L149</f>
        <v>4.178941994009282</v>
      </c>
      <c r="N149" s="494">
        <f t="shared" ref="N149:N164" si="53">M149</f>
        <v>4.178941994009282</v>
      </c>
      <c r="O149" s="498"/>
      <c r="P149" s="494"/>
      <c r="Q149" s="498"/>
      <c r="R149" s="494">
        <f t="shared" ref="R149:R164" si="54">N149+O149-P149-Q149</f>
        <v>4.178941994009282</v>
      </c>
      <c r="S149" s="494">
        <f t="shared" ref="S149:S164" si="55">R149</f>
        <v>4.178941994009282</v>
      </c>
      <c r="T149" s="498"/>
      <c r="U149" s="494"/>
      <c r="V149" s="498"/>
      <c r="W149" s="494">
        <f t="shared" ref="W149:W164" si="56">S149+T149-U149-V149</f>
        <v>4.178941994009282</v>
      </c>
    </row>
    <row r="150" spans="2:23" x14ac:dyDescent="0.3">
      <c r="B150" s="96">
        <f t="shared" ref="B150:B164" si="57">B149+1</f>
        <v>3</v>
      </c>
      <c r="C150" s="632" t="s">
        <v>861</v>
      </c>
      <c r="D150" s="481">
        <f t="shared" si="49"/>
        <v>0.40787499999999999</v>
      </c>
      <c r="E150" s="481">
        <f t="shared" si="49"/>
        <v>0.5942291666666667</v>
      </c>
      <c r="F150" s="481">
        <f t="shared" si="49"/>
        <v>0</v>
      </c>
      <c r="G150" s="481">
        <f t="shared" si="49"/>
        <v>0</v>
      </c>
      <c r="H150" s="483">
        <f t="shared" si="50"/>
        <v>1.0021041666666668</v>
      </c>
      <c r="I150" s="494">
        <f t="shared" si="51"/>
        <v>1.0021041666666668</v>
      </c>
      <c r="J150" s="498"/>
      <c r="K150" s="494"/>
      <c r="L150" s="498"/>
      <c r="M150" s="494">
        <f t="shared" si="52"/>
        <v>1.0021041666666668</v>
      </c>
      <c r="N150" s="494">
        <f t="shared" si="53"/>
        <v>1.0021041666666668</v>
      </c>
      <c r="O150" s="498"/>
      <c r="P150" s="494"/>
      <c r="Q150" s="498"/>
      <c r="R150" s="494">
        <f t="shared" si="54"/>
        <v>1.0021041666666668</v>
      </c>
      <c r="S150" s="494">
        <f t="shared" si="55"/>
        <v>1.0021041666666668</v>
      </c>
      <c r="T150" s="498"/>
      <c r="U150" s="494"/>
      <c r="V150" s="498"/>
      <c r="W150" s="494">
        <f t="shared" si="56"/>
        <v>1.0021041666666668</v>
      </c>
    </row>
    <row r="151" spans="2:23" x14ac:dyDescent="0.3">
      <c r="B151" s="96">
        <f t="shared" si="57"/>
        <v>4</v>
      </c>
      <c r="C151" s="632" t="s">
        <v>862</v>
      </c>
      <c r="D151" s="481">
        <f t="shared" si="49"/>
        <v>0.15100690315373633</v>
      </c>
      <c r="E151" s="481">
        <f t="shared" si="49"/>
        <v>-1.1934338960548019E-2</v>
      </c>
      <c r="F151" s="481">
        <f t="shared" si="49"/>
        <v>0</v>
      </c>
      <c r="G151" s="481">
        <f t="shared" si="49"/>
        <v>0</v>
      </c>
      <c r="H151" s="483">
        <f t="shared" si="50"/>
        <v>0.13907256419318831</v>
      </c>
      <c r="I151" s="494">
        <f t="shared" si="51"/>
        <v>0.13907256419318831</v>
      </c>
      <c r="J151" s="498"/>
      <c r="K151" s="494"/>
      <c r="L151" s="498"/>
      <c r="M151" s="494">
        <f t="shared" si="52"/>
        <v>0.13907256419318831</v>
      </c>
      <c r="N151" s="494">
        <f t="shared" si="53"/>
        <v>0.13907256419318831</v>
      </c>
      <c r="O151" s="498"/>
      <c r="P151" s="494"/>
      <c r="Q151" s="498"/>
      <c r="R151" s="494">
        <f t="shared" si="54"/>
        <v>0.13907256419318831</v>
      </c>
      <c r="S151" s="494">
        <f t="shared" si="55"/>
        <v>0.13907256419318831</v>
      </c>
      <c r="T151" s="498"/>
      <c r="U151" s="494"/>
      <c r="V151" s="498"/>
      <c r="W151" s="494">
        <f t="shared" si="56"/>
        <v>0.13907256419318831</v>
      </c>
    </row>
    <row r="152" spans="2:23" x14ac:dyDescent="0.3">
      <c r="B152" s="96">
        <f t="shared" si="57"/>
        <v>5</v>
      </c>
      <c r="C152" s="632" t="s">
        <v>863</v>
      </c>
      <c r="D152" s="481">
        <f t="shared" si="49"/>
        <v>21.803527143000892</v>
      </c>
      <c r="E152" s="481">
        <f t="shared" si="49"/>
        <v>2.6709703404725782</v>
      </c>
      <c r="F152" s="481">
        <f t="shared" si="49"/>
        <v>0</v>
      </c>
      <c r="G152" s="481">
        <f t="shared" si="49"/>
        <v>0</v>
      </c>
      <c r="H152" s="483">
        <f t="shared" si="50"/>
        <v>24.474497483473471</v>
      </c>
      <c r="I152" s="494">
        <f t="shared" si="51"/>
        <v>24.474497483473471</v>
      </c>
      <c r="J152" s="498"/>
      <c r="K152" s="494"/>
      <c r="L152" s="498"/>
      <c r="M152" s="494">
        <f t="shared" si="52"/>
        <v>24.474497483473471</v>
      </c>
      <c r="N152" s="494">
        <f t="shared" si="53"/>
        <v>24.474497483473471</v>
      </c>
      <c r="O152" s="498"/>
      <c r="P152" s="494"/>
      <c r="Q152" s="498"/>
      <c r="R152" s="494">
        <f t="shared" si="54"/>
        <v>24.474497483473471</v>
      </c>
      <c r="S152" s="494">
        <f t="shared" si="55"/>
        <v>24.474497483473471</v>
      </c>
      <c r="T152" s="498"/>
      <c r="U152" s="494"/>
      <c r="V152" s="498"/>
      <c r="W152" s="494">
        <f t="shared" si="56"/>
        <v>24.474497483473471</v>
      </c>
    </row>
    <row r="153" spans="2:23" x14ac:dyDescent="0.3">
      <c r="B153" s="96">
        <f t="shared" si="57"/>
        <v>6</v>
      </c>
      <c r="C153" s="632" t="s">
        <v>254</v>
      </c>
      <c r="D153" s="481">
        <f t="shared" si="49"/>
        <v>80.281121434981912</v>
      </c>
      <c r="E153" s="481">
        <f t="shared" si="49"/>
        <v>11.723036773936773</v>
      </c>
      <c r="F153" s="481">
        <f t="shared" si="49"/>
        <v>0</v>
      </c>
      <c r="G153" s="481">
        <f t="shared" si="49"/>
        <v>0</v>
      </c>
      <c r="H153" s="483">
        <f t="shared" si="50"/>
        <v>92.004158208918682</v>
      </c>
      <c r="I153" s="494">
        <f t="shared" si="51"/>
        <v>92.004158208918682</v>
      </c>
      <c r="J153" s="498"/>
      <c r="K153" s="494"/>
      <c r="L153" s="498"/>
      <c r="M153" s="494">
        <f t="shared" si="52"/>
        <v>92.004158208918682</v>
      </c>
      <c r="N153" s="494">
        <f t="shared" si="53"/>
        <v>92.004158208918682</v>
      </c>
      <c r="O153" s="498"/>
      <c r="P153" s="494"/>
      <c r="Q153" s="498"/>
      <c r="R153" s="494">
        <f t="shared" si="54"/>
        <v>92.004158208918682</v>
      </c>
      <c r="S153" s="494">
        <f t="shared" si="55"/>
        <v>92.004158208918682</v>
      </c>
      <c r="T153" s="498"/>
      <c r="U153" s="494"/>
      <c r="V153" s="498"/>
      <c r="W153" s="494">
        <f t="shared" si="56"/>
        <v>92.004158208918682</v>
      </c>
    </row>
    <row r="154" spans="2:23" x14ac:dyDescent="0.3">
      <c r="B154" s="96">
        <f t="shared" si="57"/>
        <v>7</v>
      </c>
      <c r="C154" s="632" t="s">
        <v>864</v>
      </c>
      <c r="D154" s="481">
        <f t="shared" si="49"/>
        <v>0.77091132322391109</v>
      </c>
      <c r="E154" s="481">
        <f t="shared" si="49"/>
        <v>-0.10314040937313987</v>
      </c>
      <c r="F154" s="481">
        <f t="shared" si="49"/>
        <v>0</v>
      </c>
      <c r="G154" s="481">
        <f t="shared" si="49"/>
        <v>0</v>
      </c>
      <c r="H154" s="483">
        <f t="shared" si="50"/>
        <v>0.66777091385077125</v>
      </c>
      <c r="I154" s="494">
        <f t="shared" si="51"/>
        <v>0.66777091385077125</v>
      </c>
      <c r="J154" s="498"/>
      <c r="K154" s="494"/>
      <c r="L154" s="498"/>
      <c r="M154" s="494">
        <f t="shared" si="52"/>
        <v>0.66777091385077125</v>
      </c>
      <c r="N154" s="494">
        <f t="shared" si="53"/>
        <v>0.66777091385077125</v>
      </c>
      <c r="O154" s="498"/>
      <c r="P154" s="494"/>
      <c r="Q154" s="498"/>
      <c r="R154" s="494">
        <f t="shared" si="54"/>
        <v>0.66777091385077125</v>
      </c>
      <c r="S154" s="494">
        <f t="shared" si="55"/>
        <v>0.66777091385077125</v>
      </c>
      <c r="T154" s="498"/>
      <c r="U154" s="494"/>
      <c r="V154" s="498"/>
      <c r="W154" s="494">
        <f t="shared" si="56"/>
        <v>0.66777091385077125</v>
      </c>
    </row>
    <row r="155" spans="2:23" x14ac:dyDescent="0.3">
      <c r="B155" s="96">
        <f t="shared" si="57"/>
        <v>8</v>
      </c>
      <c r="C155" s="632" t="s">
        <v>865</v>
      </c>
      <c r="D155" s="481">
        <f t="shared" si="49"/>
        <v>0</v>
      </c>
      <c r="E155" s="481">
        <f t="shared" si="49"/>
        <v>0</v>
      </c>
      <c r="F155" s="481">
        <f t="shared" si="49"/>
        <v>0</v>
      </c>
      <c r="G155" s="481">
        <f t="shared" si="49"/>
        <v>0</v>
      </c>
      <c r="H155" s="483">
        <f t="shared" si="50"/>
        <v>0</v>
      </c>
      <c r="I155" s="494">
        <f t="shared" si="51"/>
        <v>0</v>
      </c>
      <c r="J155" s="498"/>
      <c r="K155" s="494"/>
      <c r="L155" s="498"/>
      <c r="M155" s="494">
        <f t="shared" si="52"/>
        <v>0</v>
      </c>
      <c r="N155" s="494">
        <f t="shared" si="53"/>
        <v>0</v>
      </c>
      <c r="O155" s="498"/>
      <c r="P155" s="494"/>
      <c r="Q155" s="498"/>
      <c r="R155" s="494">
        <f t="shared" si="54"/>
        <v>0</v>
      </c>
      <c r="S155" s="494">
        <f t="shared" si="55"/>
        <v>0</v>
      </c>
      <c r="T155" s="498"/>
      <c r="U155" s="494"/>
      <c r="V155" s="498"/>
      <c r="W155" s="494">
        <f t="shared" si="56"/>
        <v>0</v>
      </c>
    </row>
    <row r="156" spans="2:23" x14ac:dyDescent="0.3">
      <c r="B156" s="96">
        <f t="shared" si="57"/>
        <v>9</v>
      </c>
      <c r="C156" s="632" t="s">
        <v>866</v>
      </c>
      <c r="D156" s="481">
        <f t="shared" si="49"/>
        <v>0.31042634677309211</v>
      </c>
      <c r="E156" s="481">
        <f t="shared" si="49"/>
        <v>4.1079105430313705</v>
      </c>
      <c r="F156" s="481">
        <f t="shared" si="49"/>
        <v>0</v>
      </c>
      <c r="G156" s="481">
        <f t="shared" si="49"/>
        <v>0</v>
      </c>
      <c r="H156" s="483">
        <f t="shared" si="50"/>
        <v>4.418336889804463</v>
      </c>
      <c r="I156" s="494">
        <f t="shared" si="51"/>
        <v>4.418336889804463</v>
      </c>
      <c r="J156" s="498"/>
      <c r="K156" s="494"/>
      <c r="L156" s="498"/>
      <c r="M156" s="494">
        <f t="shared" si="52"/>
        <v>4.418336889804463</v>
      </c>
      <c r="N156" s="494">
        <f t="shared" si="53"/>
        <v>4.418336889804463</v>
      </c>
      <c r="O156" s="498"/>
      <c r="P156" s="494"/>
      <c r="Q156" s="498"/>
      <c r="R156" s="494">
        <f t="shared" si="54"/>
        <v>4.418336889804463</v>
      </c>
      <c r="S156" s="494">
        <f t="shared" si="55"/>
        <v>4.418336889804463</v>
      </c>
      <c r="T156" s="498"/>
      <c r="U156" s="494"/>
      <c r="V156" s="498"/>
      <c r="W156" s="494">
        <f t="shared" si="56"/>
        <v>4.418336889804463</v>
      </c>
    </row>
    <row r="157" spans="2:23" x14ac:dyDescent="0.3">
      <c r="B157" s="96">
        <f t="shared" si="57"/>
        <v>10</v>
      </c>
      <c r="C157" s="632" t="s">
        <v>258</v>
      </c>
      <c r="D157" s="481">
        <f t="shared" si="49"/>
        <v>0.1909614978276486</v>
      </c>
      <c r="E157" s="481">
        <f t="shared" si="49"/>
        <v>-1.0915708436725846E-2</v>
      </c>
      <c r="F157" s="481">
        <f t="shared" si="49"/>
        <v>0</v>
      </c>
      <c r="G157" s="481">
        <f t="shared" si="49"/>
        <v>0</v>
      </c>
      <c r="H157" s="483">
        <f t="shared" si="50"/>
        <v>0.18004578939092275</v>
      </c>
      <c r="I157" s="494">
        <f t="shared" si="51"/>
        <v>0.18004578939092275</v>
      </c>
      <c r="J157" s="498"/>
      <c r="K157" s="494"/>
      <c r="L157" s="498"/>
      <c r="M157" s="494">
        <f t="shared" si="52"/>
        <v>0.18004578939092275</v>
      </c>
      <c r="N157" s="494">
        <f t="shared" si="53"/>
        <v>0.18004578939092275</v>
      </c>
      <c r="O157" s="498"/>
      <c r="P157" s="494"/>
      <c r="Q157" s="498"/>
      <c r="R157" s="494">
        <f t="shared" si="54"/>
        <v>0.18004578939092275</v>
      </c>
      <c r="S157" s="494">
        <f t="shared" si="55"/>
        <v>0.18004578939092275</v>
      </c>
      <c r="T157" s="498"/>
      <c r="U157" s="494"/>
      <c r="V157" s="498"/>
      <c r="W157" s="494">
        <f t="shared" si="56"/>
        <v>0.18004578939092275</v>
      </c>
    </row>
    <row r="158" spans="2:23" x14ac:dyDescent="0.3">
      <c r="B158" s="96">
        <f t="shared" si="57"/>
        <v>11</v>
      </c>
      <c r="C158" s="632" t="s">
        <v>259</v>
      </c>
      <c r="D158" s="481">
        <f t="shared" si="49"/>
        <v>0.95092708034196205</v>
      </c>
      <c r="E158" s="481">
        <f t="shared" si="49"/>
        <v>-0.16218869827568472</v>
      </c>
      <c r="F158" s="481">
        <f t="shared" si="49"/>
        <v>0</v>
      </c>
      <c r="G158" s="481">
        <f t="shared" si="49"/>
        <v>0</v>
      </c>
      <c r="H158" s="483">
        <f t="shared" si="50"/>
        <v>0.78873838206627733</v>
      </c>
      <c r="I158" s="494">
        <f t="shared" si="51"/>
        <v>0.78873838206627733</v>
      </c>
      <c r="J158" s="498"/>
      <c r="K158" s="494"/>
      <c r="L158" s="498"/>
      <c r="M158" s="494">
        <f t="shared" si="52"/>
        <v>0.78873838206627733</v>
      </c>
      <c r="N158" s="494">
        <f t="shared" si="53"/>
        <v>0.78873838206627733</v>
      </c>
      <c r="O158" s="498"/>
      <c r="P158" s="494"/>
      <c r="Q158" s="498"/>
      <c r="R158" s="494">
        <f t="shared" si="54"/>
        <v>0.78873838206627733</v>
      </c>
      <c r="S158" s="494">
        <f t="shared" si="55"/>
        <v>0.78873838206627733</v>
      </c>
      <c r="T158" s="498"/>
      <c r="U158" s="494"/>
      <c r="V158" s="498"/>
      <c r="W158" s="494">
        <f t="shared" si="56"/>
        <v>0.78873838206627733</v>
      </c>
    </row>
    <row r="159" spans="2:23" x14ac:dyDescent="0.3">
      <c r="B159" s="96">
        <f t="shared" si="57"/>
        <v>12</v>
      </c>
      <c r="C159" s="632" t="s">
        <v>260</v>
      </c>
      <c r="D159" s="481">
        <f t="shared" si="49"/>
        <v>0.86580025131197669</v>
      </c>
      <c r="E159" s="481">
        <f t="shared" si="49"/>
        <v>-0.15175005945898545</v>
      </c>
      <c r="F159" s="481">
        <f t="shared" si="49"/>
        <v>0</v>
      </c>
      <c r="G159" s="481">
        <f t="shared" si="49"/>
        <v>0</v>
      </c>
      <c r="H159" s="483">
        <f t="shared" si="50"/>
        <v>0.71405019185299123</v>
      </c>
      <c r="I159" s="494">
        <f t="shared" si="51"/>
        <v>0.71405019185299123</v>
      </c>
      <c r="J159" s="498"/>
      <c r="K159" s="494"/>
      <c r="L159" s="498"/>
      <c r="M159" s="494">
        <f t="shared" si="52"/>
        <v>0.71405019185299123</v>
      </c>
      <c r="N159" s="494">
        <f t="shared" si="53"/>
        <v>0.71405019185299123</v>
      </c>
      <c r="O159" s="498"/>
      <c r="P159" s="494"/>
      <c r="Q159" s="498"/>
      <c r="R159" s="494">
        <f t="shared" si="54"/>
        <v>0.71405019185299123</v>
      </c>
      <c r="S159" s="494">
        <f t="shared" si="55"/>
        <v>0.71405019185299123</v>
      </c>
      <c r="T159" s="498"/>
      <c r="U159" s="494"/>
      <c r="V159" s="498"/>
      <c r="W159" s="494">
        <f t="shared" si="56"/>
        <v>0.71405019185299123</v>
      </c>
    </row>
    <row r="160" spans="2:23" x14ac:dyDescent="0.3">
      <c r="B160" s="96">
        <f t="shared" si="57"/>
        <v>13</v>
      </c>
      <c r="C160" s="497" t="s">
        <v>874</v>
      </c>
      <c r="D160" s="481">
        <f t="shared" si="49"/>
        <v>0</v>
      </c>
      <c r="E160" s="481">
        <f t="shared" si="49"/>
        <v>0</v>
      </c>
      <c r="F160" s="481">
        <f t="shared" si="49"/>
        <v>0</v>
      </c>
      <c r="G160" s="481">
        <f t="shared" si="49"/>
        <v>0</v>
      </c>
      <c r="H160" s="483">
        <f t="shared" si="50"/>
        <v>0</v>
      </c>
      <c r="I160" s="494">
        <f t="shared" si="51"/>
        <v>0</v>
      </c>
      <c r="J160" s="498"/>
      <c r="K160" s="494"/>
      <c r="L160" s="498"/>
      <c r="M160" s="494">
        <f t="shared" si="52"/>
        <v>0</v>
      </c>
      <c r="N160" s="494">
        <f t="shared" si="53"/>
        <v>0</v>
      </c>
      <c r="O160" s="498"/>
      <c r="P160" s="494"/>
      <c r="Q160" s="498"/>
      <c r="R160" s="494">
        <f t="shared" si="54"/>
        <v>0</v>
      </c>
      <c r="S160" s="494">
        <f t="shared" si="55"/>
        <v>0</v>
      </c>
      <c r="T160" s="498"/>
      <c r="U160" s="494"/>
      <c r="V160" s="498"/>
      <c r="W160" s="494">
        <f t="shared" si="56"/>
        <v>0</v>
      </c>
    </row>
    <row r="161" spans="2:23" x14ac:dyDescent="0.3">
      <c r="B161" s="96">
        <f t="shared" si="57"/>
        <v>14</v>
      </c>
      <c r="C161" s="497" t="s">
        <v>875</v>
      </c>
      <c r="D161" s="481">
        <f t="shared" si="49"/>
        <v>0</v>
      </c>
      <c r="E161" s="481">
        <f t="shared" si="49"/>
        <v>0</v>
      </c>
      <c r="F161" s="481">
        <f t="shared" si="49"/>
        <v>0</v>
      </c>
      <c r="G161" s="481">
        <f t="shared" si="49"/>
        <v>0</v>
      </c>
      <c r="H161" s="483">
        <f t="shared" si="50"/>
        <v>0</v>
      </c>
      <c r="I161" s="494">
        <f t="shared" si="51"/>
        <v>0</v>
      </c>
      <c r="J161" s="498"/>
      <c r="K161" s="494"/>
      <c r="L161" s="498"/>
      <c r="M161" s="494">
        <f t="shared" si="52"/>
        <v>0</v>
      </c>
      <c r="N161" s="494">
        <f t="shared" si="53"/>
        <v>0</v>
      </c>
      <c r="O161" s="498"/>
      <c r="P161" s="494"/>
      <c r="Q161" s="498"/>
      <c r="R161" s="494">
        <f t="shared" si="54"/>
        <v>0</v>
      </c>
      <c r="S161" s="494">
        <f t="shared" si="55"/>
        <v>0</v>
      </c>
      <c r="T161" s="498"/>
      <c r="U161" s="494"/>
      <c r="V161" s="498"/>
      <c r="W161" s="494">
        <f t="shared" si="56"/>
        <v>0</v>
      </c>
    </row>
    <row r="162" spans="2:23" x14ac:dyDescent="0.3">
      <c r="B162" s="96">
        <f t="shared" si="57"/>
        <v>15</v>
      </c>
      <c r="C162" s="497" t="s">
        <v>876</v>
      </c>
      <c r="D162" s="481">
        <f t="shared" si="49"/>
        <v>0</v>
      </c>
      <c r="E162" s="481">
        <f t="shared" si="49"/>
        <v>0</v>
      </c>
      <c r="F162" s="481">
        <f t="shared" si="49"/>
        <v>0</v>
      </c>
      <c r="G162" s="481">
        <f t="shared" si="49"/>
        <v>0</v>
      </c>
      <c r="H162" s="483">
        <f t="shared" si="50"/>
        <v>0</v>
      </c>
      <c r="I162" s="494">
        <f t="shared" si="51"/>
        <v>0</v>
      </c>
      <c r="J162" s="498"/>
      <c r="K162" s="494"/>
      <c r="L162" s="498"/>
      <c r="M162" s="494">
        <f t="shared" si="52"/>
        <v>0</v>
      </c>
      <c r="N162" s="494">
        <f t="shared" si="53"/>
        <v>0</v>
      </c>
      <c r="O162" s="498"/>
      <c r="P162" s="494"/>
      <c r="Q162" s="498"/>
      <c r="R162" s="494">
        <f t="shared" si="54"/>
        <v>0</v>
      </c>
      <c r="S162" s="494">
        <f t="shared" si="55"/>
        <v>0</v>
      </c>
      <c r="T162" s="498"/>
      <c r="U162" s="494"/>
      <c r="V162" s="498"/>
      <c r="W162" s="494">
        <f t="shared" si="56"/>
        <v>0</v>
      </c>
    </row>
    <row r="163" spans="2:23" x14ac:dyDescent="0.3">
      <c r="B163" s="96">
        <f t="shared" si="57"/>
        <v>16</v>
      </c>
      <c r="C163" s="497" t="s">
        <v>867</v>
      </c>
      <c r="D163" s="481">
        <f t="shared" si="49"/>
        <v>6.5098024153198653E-2</v>
      </c>
      <c r="E163" s="481">
        <f t="shared" si="49"/>
        <v>-1.6274506038299663E-2</v>
      </c>
      <c r="F163" s="481">
        <f t="shared" si="49"/>
        <v>0</v>
      </c>
      <c r="G163" s="481">
        <f t="shared" si="49"/>
        <v>0</v>
      </c>
      <c r="H163" s="483">
        <f t="shared" si="50"/>
        <v>4.8823518114898989E-2</v>
      </c>
      <c r="I163" s="494">
        <f t="shared" si="51"/>
        <v>4.8823518114898989E-2</v>
      </c>
      <c r="J163" s="498"/>
      <c r="K163" s="494"/>
      <c r="L163" s="498"/>
      <c r="M163" s="494">
        <f t="shared" si="52"/>
        <v>4.8823518114898989E-2</v>
      </c>
      <c r="N163" s="494">
        <f t="shared" si="53"/>
        <v>4.8823518114898989E-2</v>
      </c>
      <c r="O163" s="498"/>
      <c r="P163" s="494"/>
      <c r="Q163" s="498"/>
      <c r="R163" s="494">
        <f t="shared" si="54"/>
        <v>4.8823518114898989E-2</v>
      </c>
      <c r="S163" s="494">
        <f t="shared" si="55"/>
        <v>4.8823518114898989E-2</v>
      </c>
      <c r="T163" s="498"/>
      <c r="U163" s="494"/>
      <c r="V163" s="498"/>
      <c r="W163" s="494">
        <f t="shared" si="56"/>
        <v>4.8823518114898989E-2</v>
      </c>
    </row>
    <row r="164" spans="2:23" x14ac:dyDescent="0.3">
      <c r="B164" s="96">
        <f t="shared" si="57"/>
        <v>17</v>
      </c>
      <c r="C164" s="497" t="s">
        <v>877</v>
      </c>
      <c r="D164" s="481">
        <f t="shared" ref="D164:G164" si="58">D56-D111</f>
        <v>-1.5115420998229538</v>
      </c>
      <c r="E164" s="481">
        <f t="shared" si="58"/>
        <v>0.14359833333333333</v>
      </c>
      <c r="F164" s="481">
        <f t="shared" si="58"/>
        <v>0</v>
      </c>
      <c r="G164" s="481">
        <f t="shared" si="58"/>
        <v>0</v>
      </c>
      <c r="H164" s="483">
        <f t="shared" si="50"/>
        <v>-1.3679437664896206</v>
      </c>
      <c r="I164" s="494">
        <f t="shared" si="51"/>
        <v>-1.3679437664896206</v>
      </c>
      <c r="J164" s="498"/>
      <c r="K164" s="494"/>
      <c r="L164" s="498"/>
      <c r="M164" s="494">
        <f t="shared" si="52"/>
        <v>-1.3679437664896206</v>
      </c>
      <c r="N164" s="494">
        <f t="shared" si="53"/>
        <v>-1.3679437664896206</v>
      </c>
      <c r="O164" s="498"/>
      <c r="P164" s="494"/>
      <c r="Q164" s="498"/>
      <c r="R164" s="494">
        <f t="shared" si="54"/>
        <v>-1.3679437664896206</v>
      </c>
      <c r="S164" s="494">
        <f t="shared" si="55"/>
        <v>-1.3679437664896206</v>
      </c>
      <c r="T164" s="498"/>
      <c r="U164" s="494"/>
      <c r="V164" s="498"/>
      <c r="W164" s="494">
        <f t="shared" si="56"/>
        <v>-1.3679437664896206</v>
      </c>
    </row>
    <row r="165" spans="2:23" ht="16" x14ac:dyDescent="0.3">
      <c r="B165" s="84"/>
      <c r="C165" s="99" t="s">
        <v>271</v>
      </c>
      <c r="D165" s="485">
        <f>SUM(D148:D163)</f>
        <v>110.36535728045352</v>
      </c>
      <c r="E165" s="485">
        <f>SUM(E148:E163)</f>
        <v>18.288023451067907</v>
      </c>
      <c r="F165" s="485">
        <f>SUM(F148:F163)</f>
        <v>0</v>
      </c>
      <c r="G165" s="485">
        <f>SUM(G148:G163)</f>
        <v>0</v>
      </c>
      <c r="H165" s="485">
        <f>SUM(H148:H163)</f>
        <v>128.65338073152142</v>
      </c>
      <c r="I165" s="485">
        <f t="shared" ref="I165:W165" si="59">SUM(I148:I164)</f>
        <v>127.28543696503181</v>
      </c>
      <c r="J165" s="485">
        <f t="shared" si="59"/>
        <v>0</v>
      </c>
      <c r="K165" s="485">
        <f t="shared" si="59"/>
        <v>0</v>
      </c>
      <c r="L165" s="485">
        <f t="shared" si="59"/>
        <v>0</v>
      </c>
      <c r="M165" s="485">
        <f t="shared" si="59"/>
        <v>127.28543696503181</v>
      </c>
      <c r="N165" s="485">
        <f t="shared" si="59"/>
        <v>127.28543696503181</v>
      </c>
      <c r="O165" s="485">
        <f t="shared" si="59"/>
        <v>0</v>
      </c>
      <c r="P165" s="485">
        <f t="shared" si="59"/>
        <v>0</v>
      </c>
      <c r="Q165" s="485">
        <f t="shared" si="59"/>
        <v>0</v>
      </c>
      <c r="R165" s="485">
        <f t="shared" si="59"/>
        <v>127.28543696503181</v>
      </c>
      <c r="S165" s="485">
        <f t="shared" si="59"/>
        <v>127.28543696503181</v>
      </c>
      <c r="T165" s="485">
        <f t="shared" si="59"/>
        <v>0</v>
      </c>
      <c r="U165" s="485">
        <f t="shared" si="59"/>
        <v>0</v>
      </c>
      <c r="V165" s="485">
        <f t="shared" si="59"/>
        <v>0</v>
      </c>
      <c r="W165" s="485">
        <f t="shared" si="59"/>
        <v>127.28543696503181</v>
      </c>
    </row>
    <row r="166" spans="2:23" x14ac:dyDescent="0.3">
      <c r="B166" s="307"/>
      <c r="C166" s="77"/>
      <c r="D166" s="77"/>
      <c r="E166" s="77"/>
      <c r="F166" s="77"/>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G166"/>
  <sheetViews>
    <sheetView showGridLines="0" view="pageBreakPreview" topLeftCell="A15" zoomScale="60" zoomScaleNormal="68" workbookViewId="0">
      <selection activeCell="E19" sqref="E19"/>
    </sheetView>
  </sheetViews>
  <sheetFormatPr defaultColWidth="9.36328125" defaultRowHeight="14" x14ac:dyDescent="0.3"/>
  <cols>
    <col min="1" max="1" width="7" style="5" bestFit="1" customWidth="1"/>
    <col min="2" max="2" width="6.36328125" style="5" customWidth="1"/>
    <col min="3" max="3" width="36.36328125" style="5" customWidth="1"/>
    <col min="4" max="7" width="18.36328125" style="5" customWidth="1"/>
    <col min="8" max="8" width="24.54296875" style="5" bestFit="1" customWidth="1"/>
    <col min="9" max="12" width="18.36328125" style="5" customWidth="1"/>
    <col min="13" max="13" width="23.453125" style="5" bestFit="1" customWidth="1"/>
    <col min="14" max="17" width="18.36328125" style="5" customWidth="1"/>
    <col min="18" max="18" width="23.36328125" style="5" bestFit="1" customWidth="1"/>
    <col min="19" max="22" width="18.6328125" style="5" customWidth="1"/>
    <col min="23" max="23" width="21.1796875" style="5" customWidth="1"/>
    <col min="24" max="24" width="13.6328125" style="5" bestFit="1" customWidth="1"/>
    <col min="25" max="25" width="13.453125" style="5" bestFit="1" customWidth="1"/>
    <col min="26" max="26" width="13.81640625" style="5" bestFit="1" customWidth="1"/>
    <col min="27" max="27" width="15.36328125" style="5" bestFit="1" customWidth="1"/>
    <col min="28" max="28" width="22.81640625" style="5" customWidth="1"/>
    <col min="29" max="16384" width="9.36328125" style="5"/>
  </cols>
  <sheetData>
    <row r="1" spans="1:23" x14ac:dyDescent="0.3">
      <c r="B1" s="52"/>
    </row>
    <row r="2" spans="1:23" x14ac:dyDescent="0.3">
      <c r="B2" s="52"/>
    </row>
    <row r="3" spans="1:23" x14ac:dyDescent="0.3">
      <c r="B3" s="52"/>
    </row>
    <row r="4" spans="1:23" x14ac:dyDescent="0.3">
      <c r="B4" s="18"/>
      <c r="I4" s="17"/>
      <c r="J4" s="17"/>
      <c r="K4" s="138" t="str">
        <f>Index!B2</f>
        <v xml:space="preserve">      Maharashtra State Power Generation Company Ltd.</v>
      </c>
      <c r="L4" s="269"/>
      <c r="M4" s="17"/>
      <c r="N4" s="17"/>
      <c r="O4" s="17"/>
      <c r="P4" s="17"/>
      <c r="Q4" s="17"/>
      <c r="R4" s="17"/>
    </row>
    <row r="5" spans="1:23" x14ac:dyDescent="0.3">
      <c r="B5" s="18"/>
      <c r="I5" s="62"/>
      <c r="J5" s="62"/>
      <c r="K5" s="386" t="str">
        <f>Index!B3</f>
        <v>MYT Petition Formats for SHP Hydro</v>
      </c>
      <c r="L5" s="269"/>
      <c r="M5" s="62"/>
      <c r="N5" s="62"/>
      <c r="O5" s="62"/>
      <c r="P5" s="62"/>
      <c r="Q5" s="62"/>
      <c r="R5" s="62"/>
    </row>
    <row r="6" spans="1:23" x14ac:dyDescent="0.3">
      <c r="B6" s="17"/>
      <c r="I6" s="63"/>
      <c r="J6" s="64"/>
      <c r="K6" s="69" t="s">
        <v>264</v>
      </c>
      <c r="L6" s="69"/>
      <c r="M6" s="64"/>
      <c r="N6" s="18"/>
      <c r="O6" s="17"/>
      <c r="P6" s="17"/>
      <c r="Q6" s="17"/>
      <c r="R6" s="17"/>
    </row>
    <row r="7" spans="1:23" x14ac:dyDescent="0.3">
      <c r="C7" s="18"/>
      <c r="D7" s="18"/>
      <c r="E7" s="18"/>
      <c r="F7" s="18"/>
      <c r="G7" s="18"/>
      <c r="H7" s="18"/>
      <c r="J7" s="6"/>
      <c r="M7" s="6"/>
      <c r="N7" s="6"/>
    </row>
    <row r="8" spans="1:23" x14ac:dyDescent="0.3">
      <c r="A8" s="5" t="s">
        <v>265</v>
      </c>
      <c r="B8" s="293" t="s">
        <v>266</v>
      </c>
      <c r="C8" s="293"/>
      <c r="D8" s="293"/>
      <c r="E8" s="293"/>
      <c r="F8" s="293"/>
      <c r="G8" s="293"/>
      <c r="H8" s="293"/>
      <c r="I8" s="1"/>
      <c r="J8" s="42"/>
      <c r="K8" s="1"/>
      <c r="L8" s="1"/>
      <c r="M8" s="42"/>
      <c r="N8" s="42"/>
      <c r="O8" s="1"/>
      <c r="P8" s="1"/>
      <c r="Q8" s="1"/>
      <c r="R8" s="289"/>
    </row>
    <row r="9" spans="1:23" x14ac:dyDescent="0.3">
      <c r="B9" s="296"/>
      <c r="C9" s="8"/>
      <c r="D9" s="8"/>
      <c r="E9" s="8"/>
      <c r="F9" s="8"/>
      <c r="G9" s="8"/>
      <c r="H9" s="8"/>
      <c r="I9" s="1"/>
      <c r="J9" s="42"/>
      <c r="K9" s="1"/>
      <c r="L9" s="1"/>
      <c r="M9" s="42"/>
      <c r="N9" s="42"/>
      <c r="O9" s="1"/>
      <c r="P9" s="1"/>
      <c r="Q9" s="1"/>
      <c r="R9" s="297" t="s">
        <v>10</v>
      </c>
    </row>
    <row r="10" spans="1:23" ht="15.75" customHeight="1" x14ac:dyDescent="0.3">
      <c r="B10" s="1521" t="s">
        <v>343</v>
      </c>
      <c r="C10" s="1521" t="s">
        <v>37</v>
      </c>
      <c r="D10" s="1649" t="s">
        <v>519</v>
      </c>
      <c r="E10" s="1650"/>
      <c r="F10" s="1650"/>
      <c r="G10" s="1650"/>
      <c r="H10" s="1651"/>
      <c r="I10" s="1652" t="s">
        <v>520</v>
      </c>
      <c r="J10" s="1652"/>
      <c r="K10" s="1652"/>
      <c r="L10" s="1652"/>
      <c r="M10" s="1652"/>
      <c r="N10" s="1521" t="s">
        <v>521</v>
      </c>
      <c r="O10" s="1521"/>
      <c r="P10" s="1521"/>
      <c r="Q10" s="1521"/>
      <c r="R10" s="1521"/>
      <c r="S10" s="1648" t="s">
        <v>940</v>
      </c>
      <c r="T10" s="1648"/>
      <c r="U10" s="1648"/>
      <c r="V10" s="1648"/>
      <c r="W10" s="1648"/>
    </row>
    <row r="11" spans="1:23" ht="15.75" customHeight="1" x14ac:dyDescent="0.3">
      <c r="B11" s="1521"/>
      <c r="C11" s="1521"/>
      <c r="D11" s="1661" t="s">
        <v>7</v>
      </c>
      <c r="E11" s="1662"/>
      <c r="F11" s="1662"/>
      <c r="G11" s="1662"/>
      <c r="H11" s="1663"/>
      <c r="I11" s="1654" t="s">
        <v>7</v>
      </c>
      <c r="J11" s="1655"/>
      <c r="K11" s="1655"/>
      <c r="L11" s="1655"/>
      <c r="M11" s="1655"/>
      <c r="N11" s="1654" t="s">
        <v>12</v>
      </c>
      <c r="O11" s="1655"/>
      <c r="P11" s="1655"/>
      <c r="Q11" s="1655"/>
      <c r="R11" s="1655"/>
      <c r="S11" s="1654" t="s">
        <v>21</v>
      </c>
      <c r="T11" s="1655"/>
      <c r="U11" s="1655"/>
      <c r="V11" s="1655"/>
      <c r="W11" s="1655"/>
    </row>
    <row r="12" spans="1:23" s="34" customFormat="1" ht="42" x14ac:dyDescent="0.3">
      <c r="B12" s="1521"/>
      <c r="C12" s="1521"/>
      <c r="D12" s="292" t="s">
        <v>267</v>
      </c>
      <c r="E12" s="292" t="s">
        <v>268</v>
      </c>
      <c r="F12" s="292" t="s">
        <v>269</v>
      </c>
      <c r="G12" s="292" t="s">
        <v>601</v>
      </c>
      <c r="H12" s="292" t="s">
        <v>270</v>
      </c>
      <c r="I12" s="292" t="s">
        <v>267</v>
      </c>
      <c r="J12" s="292" t="s">
        <v>268</v>
      </c>
      <c r="K12" s="292" t="s">
        <v>269</v>
      </c>
      <c r="L12" s="292" t="s">
        <v>601</v>
      </c>
      <c r="M12" s="292" t="s">
        <v>270</v>
      </c>
      <c r="N12" s="292" t="s">
        <v>267</v>
      </c>
      <c r="O12" s="292" t="s">
        <v>268</v>
      </c>
      <c r="P12" s="292" t="s">
        <v>269</v>
      </c>
      <c r="Q12" s="292" t="s">
        <v>601</v>
      </c>
      <c r="R12" s="292" t="s">
        <v>270</v>
      </c>
      <c r="S12" s="301" t="s">
        <v>267</v>
      </c>
      <c r="T12" s="301" t="s">
        <v>268</v>
      </c>
      <c r="U12" s="301" t="s">
        <v>269</v>
      </c>
      <c r="V12" s="292" t="s">
        <v>601</v>
      </c>
      <c r="W12" s="301" t="s">
        <v>270</v>
      </c>
    </row>
    <row r="13" spans="1:23" s="35" customFormat="1" x14ac:dyDescent="0.25">
      <c r="B13" s="298"/>
      <c r="C13" s="298"/>
      <c r="D13" s="298" t="s">
        <v>81</v>
      </c>
      <c r="E13" s="298" t="s">
        <v>82</v>
      </c>
      <c r="F13" s="298" t="s">
        <v>472</v>
      </c>
      <c r="G13" s="298" t="s">
        <v>397</v>
      </c>
      <c r="H13" s="298" t="s">
        <v>602</v>
      </c>
      <c r="I13" s="298" t="s">
        <v>414</v>
      </c>
      <c r="J13" s="298" t="s">
        <v>522</v>
      </c>
      <c r="K13" s="298" t="s">
        <v>415</v>
      </c>
      <c r="L13" s="298" t="s">
        <v>416</v>
      </c>
      <c r="M13" s="298" t="s">
        <v>669</v>
      </c>
      <c r="N13" s="298" t="s">
        <v>603</v>
      </c>
      <c r="O13" s="298" t="s">
        <v>670</v>
      </c>
      <c r="P13" s="298" t="s">
        <v>604</v>
      </c>
      <c r="Q13" s="298" t="s">
        <v>605</v>
      </c>
      <c r="R13" s="298" t="s">
        <v>671</v>
      </c>
      <c r="S13" s="298" t="s">
        <v>609</v>
      </c>
      <c r="T13" s="298" t="s">
        <v>610</v>
      </c>
      <c r="U13" s="298" t="s">
        <v>611</v>
      </c>
      <c r="V13" s="298" t="s">
        <v>673</v>
      </c>
      <c r="W13" s="298" t="s">
        <v>674</v>
      </c>
    </row>
    <row r="14" spans="1:23" s="6" customFormat="1" x14ac:dyDescent="0.3">
      <c r="B14" s="96">
        <v>1</v>
      </c>
      <c r="C14" s="299" t="s">
        <v>860</v>
      </c>
      <c r="D14" s="498">
        <v>3.6840629179811686E-2</v>
      </c>
      <c r="E14" s="498">
        <v>0</v>
      </c>
      <c r="F14" s="498">
        <v>0</v>
      </c>
      <c r="G14" s="498"/>
      <c r="H14" s="498">
        <f>D14+E14+F14-G14</f>
        <v>3.6840629179811686E-2</v>
      </c>
      <c r="I14" s="494">
        <f>H14</f>
        <v>3.6840629179811686E-2</v>
      </c>
      <c r="J14" s="498">
        <v>0</v>
      </c>
      <c r="K14" s="498">
        <v>0</v>
      </c>
      <c r="L14" s="498"/>
      <c r="M14" s="494">
        <f>I14+J14-K14-L14</f>
        <v>3.6840629179811686E-2</v>
      </c>
      <c r="N14" s="494">
        <f>M14</f>
        <v>3.6840629179811686E-2</v>
      </c>
      <c r="O14" s="498">
        <v>0</v>
      </c>
      <c r="P14" s="498">
        <v>0</v>
      </c>
      <c r="Q14" s="498"/>
      <c r="R14" s="494">
        <f>N14+O14-P14-Q14</f>
        <v>3.6840629179811686E-2</v>
      </c>
      <c r="S14" s="498">
        <f t="shared" ref="S14:S30" si="0">R14</f>
        <v>3.6840629179811686E-2</v>
      </c>
      <c r="T14" s="498">
        <v>0</v>
      </c>
      <c r="U14" s="494">
        <v>0</v>
      </c>
      <c r="V14" s="498"/>
      <c r="W14" s="498">
        <f t="shared" ref="W14:W30" si="1">S14+T14-U14-V14</f>
        <v>3.6840629179811686E-2</v>
      </c>
    </row>
    <row r="15" spans="1:23" s="6" customFormat="1" x14ac:dyDescent="0.3">
      <c r="B15" s="96">
        <f>B14+1</f>
        <v>2</v>
      </c>
      <c r="C15" s="299" t="s">
        <v>255</v>
      </c>
      <c r="D15" s="498">
        <v>10.032828365799277</v>
      </c>
      <c r="E15" s="498">
        <v>0.1500322</v>
      </c>
      <c r="F15" s="498">
        <v>1.9667567530000001</v>
      </c>
      <c r="G15" s="498"/>
      <c r="H15" s="498">
        <f>D15+E15-F15-G15</f>
        <v>8.2161038127992772</v>
      </c>
      <c r="I15" s="494">
        <f t="shared" ref="I15:I30" si="2">H15</f>
        <v>8.2161038127992772</v>
      </c>
      <c r="J15" s="498">
        <v>2.7560401199999998</v>
      </c>
      <c r="K15" s="498">
        <v>0.43562739099999997</v>
      </c>
      <c r="L15" s="498"/>
      <c r="M15" s="494">
        <f t="shared" ref="M15:M30" si="3">I15+J15-K15-L15</f>
        <v>10.536516541799276</v>
      </c>
      <c r="N15" s="494">
        <f t="shared" ref="N15:N30" si="4">M15</f>
        <v>10.536516541799276</v>
      </c>
      <c r="O15" s="498">
        <v>0</v>
      </c>
      <c r="P15" s="498">
        <v>0</v>
      </c>
      <c r="Q15" s="498"/>
      <c r="R15" s="494">
        <f t="shared" ref="R15:R30" si="5">N15+O15-P15-Q15</f>
        <v>10.536516541799276</v>
      </c>
      <c r="S15" s="498">
        <f t="shared" si="0"/>
        <v>10.536516541799276</v>
      </c>
      <c r="T15" s="498">
        <v>0</v>
      </c>
      <c r="U15" s="494">
        <v>0</v>
      </c>
      <c r="V15" s="498"/>
      <c r="W15" s="498">
        <f t="shared" si="1"/>
        <v>10.536516541799276</v>
      </c>
    </row>
    <row r="16" spans="1:23" s="6" customFormat="1" ht="28" x14ac:dyDescent="0.3">
      <c r="B16" s="96">
        <f t="shared" ref="B16:B30" si="6">B15+1</f>
        <v>3</v>
      </c>
      <c r="C16" s="300" t="s">
        <v>861</v>
      </c>
      <c r="D16" s="498">
        <v>0</v>
      </c>
      <c r="E16" s="498">
        <v>0</v>
      </c>
      <c r="F16" s="499">
        <v>0</v>
      </c>
      <c r="G16" s="499"/>
      <c r="H16" s="498">
        <f t="shared" ref="H16:H30" si="7">D16+E16-F16-G16</f>
        <v>0</v>
      </c>
      <c r="I16" s="494">
        <f t="shared" si="2"/>
        <v>0</v>
      </c>
      <c r="J16" s="498">
        <v>0</v>
      </c>
      <c r="K16" s="499">
        <v>0</v>
      </c>
      <c r="L16" s="499"/>
      <c r="M16" s="494">
        <f t="shared" si="3"/>
        <v>0</v>
      </c>
      <c r="N16" s="494">
        <f t="shared" si="4"/>
        <v>0</v>
      </c>
      <c r="O16" s="498">
        <v>0</v>
      </c>
      <c r="P16" s="499">
        <v>0</v>
      </c>
      <c r="Q16" s="499"/>
      <c r="R16" s="494">
        <f t="shared" si="5"/>
        <v>0</v>
      </c>
      <c r="S16" s="498">
        <f t="shared" si="0"/>
        <v>0</v>
      </c>
      <c r="T16" s="498">
        <v>0</v>
      </c>
      <c r="U16" s="494">
        <v>0</v>
      </c>
      <c r="V16" s="498"/>
      <c r="W16" s="498">
        <f t="shared" si="1"/>
        <v>0</v>
      </c>
    </row>
    <row r="17" spans="2:23" s="6" customFormat="1" x14ac:dyDescent="0.3">
      <c r="B17" s="96">
        <f t="shared" si="6"/>
        <v>4</v>
      </c>
      <c r="C17" s="300" t="s">
        <v>862</v>
      </c>
      <c r="D17" s="498">
        <v>1.0330104731154424</v>
      </c>
      <c r="E17" s="498">
        <v>0</v>
      </c>
      <c r="F17" s="499">
        <v>0</v>
      </c>
      <c r="G17" s="499"/>
      <c r="H17" s="498">
        <f t="shared" si="7"/>
        <v>1.0330104731154424</v>
      </c>
      <c r="I17" s="494">
        <f t="shared" si="2"/>
        <v>1.0330104731154424</v>
      </c>
      <c r="J17" s="498">
        <v>-3.1500000000000001E-4</v>
      </c>
      <c r="K17" s="499">
        <v>0</v>
      </c>
      <c r="L17" s="499"/>
      <c r="M17" s="494">
        <f t="shared" si="3"/>
        <v>1.0326954731154423</v>
      </c>
      <c r="N17" s="494">
        <f t="shared" si="4"/>
        <v>1.0326954731154423</v>
      </c>
      <c r="O17" s="498">
        <v>0</v>
      </c>
      <c r="P17" s="499">
        <v>0</v>
      </c>
      <c r="Q17" s="499"/>
      <c r="R17" s="494">
        <f t="shared" si="5"/>
        <v>1.0326954731154423</v>
      </c>
      <c r="S17" s="498">
        <f t="shared" si="0"/>
        <v>1.0326954731154423</v>
      </c>
      <c r="T17" s="498">
        <v>0</v>
      </c>
      <c r="U17" s="494">
        <v>0</v>
      </c>
      <c r="V17" s="498"/>
      <c r="W17" s="498">
        <f t="shared" si="1"/>
        <v>1.0326954731154423</v>
      </c>
    </row>
    <row r="18" spans="2:23" s="6" customFormat="1" x14ac:dyDescent="0.3">
      <c r="B18" s="96">
        <f t="shared" si="6"/>
        <v>5</v>
      </c>
      <c r="C18" s="300" t="s">
        <v>863</v>
      </c>
      <c r="D18" s="498">
        <v>9.2558522906034533</v>
      </c>
      <c r="E18" s="498">
        <v>4.11755534</v>
      </c>
      <c r="F18" s="499">
        <v>1.7941060210000002</v>
      </c>
      <c r="G18" s="499"/>
      <c r="H18" s="498">
        <f t="shared" si="7"/>
        <v>11.579301609603451</v>
      </c>
      <c r="I18" s="494">
        <f t="shared" si="2"/>
        <v>11.579301609603451</v>
      </c>
      <c r="J18" s="498">
        <v>0.26429979999999997</v>
      </c>
      <c r="K18" s="499">
        <v>0.1190133</v>
      </c>
      <c r="L18" s="499"/>
      <c r="M18" s="494">
        <f t="shared" si="3"/>
        <v>11.724588109603451</v>
      </c>
      <c r="N18" s="494">
        <f t="shared" si="4"/>
        <v>11.724588109603451</v>
      </c>
      <c r="O18" s="498">
        <v>0</v>
      </c>
      <c r="P18" s="499">
        <v>0</v>
      </c>
      <c r="Q18" s="499"/>
      <c r="R18" s="494">
        <f t="shared" si="5"/>
        <v>11.724588109603451</v>
      </c>
      <c r="S18" s="498">
        <f t="shared" si="0"/>
        <v>11.724588109603451</v>
      </c>
      <c r="T18" s="498">
        <v>0</v>
      </c>
      <c r="U18" s="494">
        <v>0</v>
      </c>
      <c r="V18" s="498"/>
      <c r="W18" s="498">
        <f t="shared" si="1"/>
        <v>11.724588109603451</v>
      </c>
    </row>
    <row r="19" spans="2:23" x14ac:dyDescent="0.3">
      <c r="B19" s="96">
        <f t="shared" si="6"/>
        <v>6</v>
      </c>
      <c r="C19" s="299" t="s">
        <v>254</v>
      </c>
      <c r="D19" s="498">
        <v>8.094126771056052</v>
      </c>
      <c r="E19" s="498">
        <v>4.7514384800000009</v>
      </c>
      <c r="F19" s="498">
        <v>0</v>
      </c>
      <c r="G19" s="498"/>
      <c r="H19" s="498">
        <f t="shared" si="7"/>
        <v>12.845565251056053</v>
      </c>
      <c r="I19" s="494">
        <f t="shared" si="2"/>
        <v>12.845565251056053</v>
      </c>
      <c r="J19" s="498">
        <v>3.6514658360000003</v>
      </c>
      <c r="K19" s="498">
        <v>0</v>
      </c>
      <c r="L19" s="498"/>
      <c r="M19" s="494">
        <f t="shared" si="3"/>
        <v>16.497031087056055</v>
      </c>
      <c r="N19" s="494">
        <f t="shared" si="4"/>
        <v>16.497031087056055</v>
      </c>
      <c r="O19" s="498">
        <v>47.903960000000005</v>
      </c>
      <c r="P19" s="498">
        <v>0</v>
      </c>
      <c r="Q19" s="498"/>
      <c r="R19" s="494">
        <f t="shared" si="5"/>
        <v>64.400991087056056</v>
      </c>
      <c r="S19" s="498">
        <f t="shared" si="0"/>
        <v>64.400991087056056</v>
      </c>
      <c r="T19" s="498">
        <v>0.16126666666666664</v>
      </c>
      <c r="U19" s="494">
        <v>0</v>
      </c>
      <c r="V19" s="498"/>
      <c r="W19" s="498">
        <f t="shared" si="1"/>
        <v>64.562257753722719</v>
      </c>
    </row>
    <row r="20" spans="2:23" x14ac:dyDescent="0.3">
      <c r="B20" s="96">
        <f t="shared" si="6"/>
        <v>7</v>
      </c>
      <c r="C20" s="299" t="s">
        <v>864</v>
      </c>
      <c r="D20" s="498">
        <v>0.54402113064685087</v>
      </c>
      <c r="E20" s="498">
        <v>0.1138</v>
      </c>
      <c r="F20" s="498">
        <v>0</v>
      </c>
      <c r="G20" s="498"/>
      <c r="H20" s="498">
        <f t="shared" si="7"/>
        <v>0.65782113064685088</v>
      </c>
      <c r="I20" s="494">
        <f t="shared" si="2"/>
        <v>0.65782113064685088</v>
      </c>
      <c r="J20" s="498">
        <v>0.58658415999999991</v>
      </c>
      <c r="K20" s="498">
        <v>4.6325100000000001E-2</v>
      </c>
      <c r="L20" s="498"/>
      <c r="M20" s="494">
        <f t="shared" si="3"/>
        <v>1.1980801906468508</v>
      </c>
      <c r="N20" s="494">
        <f t="shared" si="4"/>
        <v>1.1980801906468508</v>
      </c>
      <c r="O20" s="498">
        <v>0</v>
      </c>
      <c r="P20" s="498">
        <v>0</v>
      </c>
      <c r="Q20" s="498"/>
      <c r="R20" s="494">
        <f t="shared" si="5"/>
        <v>1.1980801906468508</v>
      </c>
      <c r="S20" s="498">
        <f t="shared" si="0"/>
        <v>1.1980801906468508</v>
      </c>
      <c r="T20" s="498">
        <v>0</v>
      </c>
      <c r="U20" s="494">
        <v>0</v>
      </c>
      <c r="V20" s="498"/>
      <c r="W20" s="498">
        <f t="shared" si="1"/>
        <v>1.1980801906468508</v>
      </c>
    </row>
    <row r="21" spans="2:23" x14ac:dyDescent="0.3">
      <c r="B21" s="96">
        <f t="shared" si="6"/>
        <v>8</v>
      </c>
      <c r="C21" s="299" t="s">
        <v>865</v>
      </c>
      <c r="D21" s="498">
        <v>0</v>
      </c>
      <c r="E21" s="498">
        <v>0</v>
      </c>
      <c r="F21" s="498">
        <v>0</v>
      </c>
      <c r="G21" s="498"/>
      <c r="H21" s="498">
        <f t="shared" si="7"/>
        <v>0</v>
      </c>
      <c r="I21" s="494">
        <f t="shared" si="2"/>
        <v>0</v>
      </c>
      <c r="J21" s="498">
        <v>0</v>
      </c>
      <c r="K21" s="498">
        <v>0</v>
      </c>
      <c r="L21" s="498"/>
      <c r="M21" s="494">
        <f t="shared" si="3"/>
        <v>0</v>
      </c>
      <c r="N21" s="494">
        <f t="shared" si="4"/>
        <v>0</v>
      </c>
      <c r="O21" s="498">
        <v>0</v>
      </c>
      <c r="P21" s="498">
        <v>0</v>
      </c>
      <c r="Q21" s="498"/>
      <c r="R21" s="494">
        <f t="shared" si="5"/>
        <v>0</v>
      </c>
      <c r="S21" s="498">
        <f t="shared" si="0"/>
        <v>0</v>
      </c>
      <c r="T21" s="498">
        <v>0</v>
      </c>
      <c r="U21" s="494">
        <v>0</v>
      </c>
      <c r="V21" s="498"/>
      <c r="W21" s="498">
        <f t="shared" si="1"/>
        <v>0</v>
      </c>
    </row>
    <row r="22" spans="2:23" x14ac:dyDescent="0.3">
      <c r="B22" s="96">
        <f t="shared" si="6"/>
        <v>9</v>
      </c>
      <c r="C22" s="299" t="s">
        <v>866</v>
      </c>
      <c r="D22" s="498">
        <v>2.4760351889857151</v>
      </c>
      <c r="E22" s="498">
        <v>0</v>
      </c>
      <c r="F22" s="498">
        <v>0</v>
      </c>
      <c r="G22" s="498"/>
      <c r="H22" s="498">
        <f t="shared" si="7"/>
        <v>2.4760351889857151</v>
      </c>
      <c r="I22" s="494">
        <f t="shared" si="2"/>
        <v>2.4760351889857151</v>
      </c>
      <c r="J22" s="498">
        <v>0</v>
      </c>
      <c r="K22" s="498">
        <v>0</v>
      </c>
      <c r="L22" s="498"/>
      <c r="M22" s="494">
        <f t="shared" si="3"/>
        <v>2.4760351889857151</v>
      </c>
      <c r="N22" s="494">
        <f t="shared" si="4"/>
        <v>2.4760351889857151</v>
      </c>
      <c r="O22" s="498">
        <v>0</v>
      </c>
      <c r="P22" s="498">
        <v>0</v>
      </c>
      <c r="Q22" s="498"/>
      <c r="R22" s="494">
        <f t="shared" si="5"/>
        <v>2.4760351889857151</v>
      </c>
      <c r="S22" s="498">
        <f t="shared" si="0"/>
        <v>2.4760351889857151</v>
      </c>
      <c r="T22" s="498">
        <v>0</v>
      </c>
      <c r="U22" s="494">
        <v>0</v>
      </c>
      <c r="V22" s="498"/>
      <c r="W22" s="498">
        <f t="shared" si="1"/>
        <v>2.4760351889857151</v>
      </c>
    </row>
    <row r="23" spans="2:23" x14ac:dyDescent="0.3">
      <c r="B23" s="96">
        <f t="shared" si="6"/>
        <v>10</v>
      </c>
      <c r="C23" s="299" t="s">
        <v>258</v>
      </c>
      <c r="D23" s="498">
        <v>1.4729866408074528</v>
      </c>
      <c r="E23" s="498">
        <v>0</v>
      </c>
      <c r="F23" s="498">
        <v>0</v>
      </c>
      <c r="G23" s="498"/>
      <c r="H23" s="498">
        <f t="shared" si="7"/>
        <v>1.4729866408074528</v>
      </c>
      <c r="I23" s="494">
        <f t="shared" si="2"/>
        <v>1.4729866408074528</v>
      </c>
      <c r="J23" s="498">
        <v>0</v>
      </c>
      <c r="K23" s="498">
        <v>0</v>
      </c>
      <c r="L23" s="498"/>
      <c r="M23" s="494">
        <f t="shared" si="3"/>
        <v>1.4729866408074528</v>
      </c>
      <c r="N23" s="494">
        <f t="shared" si="4"/>
        <v>1.4729866408074528</v>
      </c>
      <c r="O23" s="498">
        <v>0</v>
      </c>
      <c r="P23" s="498">
        <v>0</v>
      </c>
      <c r="Q23" s="498"/>
      <c r="R23" s="494">
        <f t="shared" si="5"/>
        <v>1.4729866408074528</v>
      </c>
      <c r="S23" s="498">
        <f t="shared" si="0"/>
        <v>1.4729866408074528</v>
      </c>
      <c r="T23" s="498">
        <v>0</v>
      </c>
      <c r="U23" s="494">
        <v>0</v>
      </c>
      <c r="V23" s="498"/>
      <c r="W23" s="498">
        <f t="shared" si="1"/>
        <v>1.4729866408074528</v>
      </c>
    </row>
    <row r="24" spans="2:23" x14ac:dyDescent="0.3">
      <c r="B24" s="96">
        <f t="shared" si="6"/>
        <v>11</v>
      </c>
      <c r="C24" s="299" t="s">
        <v>259</v>
      </c>
      <c r="D24" s="498">
        <v>2.888680407392231</v>
      </c>
      <c r="E24" s="498">
        <v>2.6115867999999997E-2</v>
      </c>
      <c r="F24" s="498">
        <v>-1.0495599999999997E-3</v>
      </c>
      <c r="G24" s="498"/>
      <c r="H24" s="498">
        <f t="shared" si="7"/>
        <v>2.915845835392231</v>
      </c>
      <c r="I24" s="494">
        <f t="shared" si="2"/>
        <v>2.915845835392231</v>
      </c>
      <c r="J24" s="498">
        <v>9.3100637E-2</v>
      </c>
      <c r="K24" s="498">
        <v>0</v>
      </c>
      <c r="L24" s="498"/>
      <c r="M24" s="494">
        <f t="shared" si="3"/>
        <v>3.008946472392231</v>
      </c>
      <c r="N24" s="494">
        <f t="shared" si="4"/>
        <v>3.008946472392231</v>
      </c>
      <c r="O24" s="498">
        <v>1.27764E-2</v>
      </c>
      <c r="P24" s="498">
        <v>0</v>
      </c>
      <c r="Q24" s="498"/>
      <c r="R24" s="494">
        <f t="shared" si="5"/>
        <v>3.0217228723922309</v>
      </c>
      <c r="S24" s="498">
        <f t="shared" si="0"/>
        <v>3.0217228723922309</v>
      </c>
      <c r="T24" s="498">
        <v>0</v>
      </c>
      <c r="U24" s="494">
        <v>0</v>
      </c>
      <c r="V24" s="498"/>
      <c r="W24" s="498">
        <f t="shared" si="1"/>
        <v>3.0217228723922309</v>
      </c>
    </row>
    <row r="25" spans="2:23" x14ac:dyDescent="0.3">
      <c r="B25" s="96">
        <f t="shared" si="6"/>
        <v>12</v>
      </c>
      <c r="C25" s="299" t="s">
        <v>260</v>
      </c>
      <c r="D25" s="498">
        <v>2.42623988376035</v>
      </c>
      <c r="E25" s="498">
        <v>-3.521665999999998E-3</v>
      </c>
      <c r="F25" s="498">
        <v>1.0495599999999997E-3</v>
      </c>
      <c r="G25" s="498"/>
      <c r="H25" s="498">
        <f t="shared" si="7"/>
        <v>2.4216686577603501</v>
      </c>
      <c r="I25" s="494">
        <f t="shared" si="2"/>
        <v>2.4216686577603501</v>
      </c>
      <c r="J25" s="498">
        <v>0.15009557700000001</v>
      </c>
      <c r="K25" s="498">
        <v>0</v>
      </c>
      <c r="L25" s="498"/>
      <c r="M25" s="494">
        <f t="shared" si="3"/>
        <v>2.5717642347603502</v>
      </c>
      <c r="N25" s="494">
        <f t="shared" si="4"/>
        <v>2.5717642347603502</v>
      </c>
      <c r="O25" s="498">
        <v>1.6235900000000001E-2</v>
      </c>
      <c r="P25" s="498">
        <v>0</v>
      </c>
      <c r="Q25" s="498"/>
      <c r="R25" s="494">
        <f t="shared" si="5"/>
        <v>2.5880001347603501</v>
      </c>
      <c r="S25" s="498">
        <f t="shared" si="0"/>
        <v>2.5880001347603501</v>
      </c>
      <c r="T25" s="498">
        <v>0</v>
      </c>
      <c r="U25" s="494">
        <v>0</v>
      </c>
      <c r="V25" s="498"/>
      <c r="W25" s="498">
        <f t="shared" si="1"/>
        <v>2.5880001347603501</v>
      </c>
    </row>
    <row r="26" spans="2:23" x14ac:dyDescent="0.3">
      <c r="B26" s="96">
        <f t="shared" si="6"/>
        <v>13</v>
      </c>
      <c r="C26" s="497" t="s">
        <v>874</v>
      </c>
      <c r="D26" s="498">
        <v>0</v>
      </c>
      <c r="E26" s="498">
        <v>0</v>
      </c>
      <c r="F26" s="498">
        <v>0</v>
      </c>
      <c r="G26" s="498"/>
      <c r="H26" s="498">
        <f t="shared" si="7"/>
        <v>0</v>
      </c>
      <c r="I26" s="494">
        <f t="shared" si="2"/>
        <v>0</v>
      </c>
      <c r="J26" s="498">
        <v>0</v>
      </c>
      <c r="K26" s="498">
        <v>0</v>
      </c>
      <c r="L26" s="498"/>
      <c r="M26" s="494">
        <f t="shared" si="3"/>
        <v>0</v>
      </c>
      <c r="N26" s="494">
        <f t="shared" si="4"/>
        <v>0</v>
      </c>
      <c r="O26" s="498">
        <v>0</v>
      </c>
      <c r="P26" s="498">
        <v>0</v>
      </c>
      <c r="Q26" s="498"/>
      <c r="R26" s="494">
        <f t="shared" si="5"/>
        <v>0</v>
      </c>
      <c r="S26" s="498">
        <f t="shared" si="0"/>
        <v>0</v>
      </c>
      <c r="T26" s="498">
        <v>0</v>
      </c>
      <c r="U26" s="494">
        <v>0</v>
      </c>
      <c r="V26" s="498"/>
      <c r="W26" s="498">
        <f t="shared" si="1"/>
        <v>0</v>
      </c>
    </row>
    <row r="27" spans="2:23" x14ac:dyDescent="0.3">
      <c r="B27" s="96">
        <f t="shared" si="6"/>
        <v>14</v>
      </c>
      <c r="C27" s="497" t="s">
        <v>875</v>
      </c>
      <c r="D27" s="498">
        <v>0</v>
      </c>
      <c r="E27" s="498">
        <v>0</v>
      </c>
      <c r="F27" s="498">
        <v>0</v>
      </c>
      <c r="G27" s="498"/>
      <c r="H27" s="498">
        <f t="shared" si="7"/>
        <v>0</v>
      </c>
      <c r="I27" s="494">
        <f t="shared" si="2"/>
        <v>0</v>
      </c>
      <c r="J27" s="498">
        <v>0</v>
      </c>
      <c r="K27" s="498">
        <v>0</v>
      </c>
      <c r="L27" s="498"/>
      <c r="M27" s="494">
        <f t="shared" si="3"/>
        <v>0</v>
      </c>
      <c r="N27" s="494">
        <f t="shared" si="4"/>
        <v>0</v>
      </c>
      <c r="O27" s="498">
        <v>0</v>
      </c>
      <c r="P27" s="498">
        <v>0</v>
      </c>
      <c r="Q27" s="498"/>
      <c r="R27" s="494">
        <f t="shared" si="5"/>
        <v>0</v>
      </c>
      <c r="S27" s="498">
        <f t="shared" si="0"/>
        <v>0</v>
      </c>
      <c r="T27" s="498">
        <v>0</v>
      </c>
      <c r="U27" s="494">
        <v>0</v>
      </c>
      <c r="V27" s="498"/>
      <c r="W27" s="498">
        <f t="shared" si="1"/>
        <v>0</v>
      </c>
    </row>
    <row r="28" spans="2:23" x14ac:dyDescent="0.3">
      <c r="B28" s="96">
        <f t="shared" si="6"/>
        <v>15</v>
      </c>
      <c r="C28" s="497" t="s">
        <v>876</v>
      </c>
      <c r="D28" s="498">
        <v>0</v>
      </c>
      <c r="E28" s="498">
        <v>0</v>
      </c>
      <c r="F28" s="498">
        <v>0</v>
      </c>
      <c r="G28" s="498"/>
      <c r="H28" s="498">
        <f t="shared" si="7"/>
        <v>0</v>
      </c>
      <c r="I28" s="494">
        <f t="shared" si="2"/>
        <v>0</v>
      </c>
      <c r="J28" s="498">
        <v>0</v>
      </c>
      <c r="K28" s="498">
        <v>0</v>
      </c>
      <c r="L28" s="498"/>
      <c r="M28" s="494">
        <f t="shared" si="3"/>
        <v>0</v>
      </c>
      <c r="N28" s="494">
        <f t="shared" si="4"/>
        <v>0</v>
      </c>
      <c r="O28" s="498">
        <v>0</v>
      </c>
      <c r="P28" s="498">
        <v>0</v>
      </c>
      <c r="Q28" s="498"/>
      <c r="R28" s="494">
        <f t="shared" si="5"/>
        <v>0</v>
      </c>
      <c r="S28" s="498">
        <f t="shared" si="0"/>
        <v>0</v>
      </c>
      <c r="T28" s="498">
        <v>0</v>
      </c>
      <c r="U28" s="494">
        <v>0</v>
      </c>
      <c r="V28" s="498"/>
      <c r="W28" s="498">
        <f t="shared" si="1"/>
        <v>0</v>
      </c>
    </row>
    <row r="29" spans="2:23" x14ac:dyDescent="0.3">
      <c r="B29" s="96">
        <f t="shared" si="6"/>
        <v>16</v>
      </c>
      <c r="C29" s="497" t="s">
        <v>867</v>
      </c>
      <c r="D29" s="498">
        <v>1.424019278351218</v>
      </c>
      <c r="E29" s="498">
        <v>0</v>
      </c>
      <c r="F29" s="498">
        <v>0</v>
      </c>
      <c r="G29" s="498"/>
      <c r="H29" s="498">
        <f t="shared" si="7"/>
        <v>1.424019278351218</v>
      </c>
      <c r="I29" s="494">
        <f t="shared" si="2"/>
        <v>1.424019278351218</v>
      </c>
      <c r="J29" s="498">
        <v>0</v>
      </c>
      <c r="K29" s="498">
        <v>0</v>
      </c>
      <c r="L29" s="498"/>
      <c r="M29" s="494">
        <f t="shared" si="3"/>
        <v>1.424019278351218</v>
      </c>
      <c r="N29" s="494">
        <f t="shared" si="4"/>
        <v>1.424019278351218</v>
      </c>
      <c r="O29" s="498">
        <v>0</v>
      </c>
      <c r="P29" s="498">
        <v>0</v>
      </c>
      <c r="Q29" s="498"/>
      <c r="R29" s="494">
        <f t="shared" si="5"/>
        <v>1.424019278351218</v>
      </c>
      <c r="S29" s="498">
        <f t="shared" si="0"/>
        <v>1.424019278351218</v>
      </c>
      <c r="T29" s="498">
        <v>0</v>
      </c>
      <c r="U29" s="494">
        <v>0</v>
      </c>
      <c r="V29" s="498"/>
      <c r="W29" s="498">
        <f t="shared" si="1"/>
        <v>1.424019278351218</v>
      </c>
    </row>
    <row r="30" spans="2:23" x14ac:dyDescent="0.3">
      <c r="B30" s="96">
        <f t="shared" si="6"/>
        <v>17</v>
      </c>
      <c r="C30" s="497" t="s">
        <v>877</v>
      </c>
      <c r="D30" s="498">
        <v>0</v>
      </c>
      <c r="E30" s="498">
        <v>4.0077621739999998</v>
      </c>
      <c r="F30" s="498">
        <v>0</v>
      </c>
      <c r="G30" s="498"/>
      <c r="H30" s="498">
        <f t="shared" si="7"/>
        <v>4.0077621739999998</v>
      </c>
      <c r="I30" s="494">
        <f t="shared" si="2"/>
        <v>4.0077621739999998</v>
      </c>
      <c r="J30" s="498">
        <v>0</v>
      </c>
      <c r="K30" s="498">
        <v>0</v>
      </c>
      <c r="L30" s="498"/>
      <c r="M30" s="494">
        <f t="shared" si="3"/>
        <v>4.0077621739999998</v>
      </c>
      <c r="N30" s="494">
        <f t="shared" si="4"/>
        <v>4.0077621739999998</v>
      </c>
      <c r="O30" s="498">
        <v>0</v>
      </c>
      <c r="P30" s="498">
        <v>0</v>
      </c>
      <c r="Q30" s="498"/>
      <c r="R30" s="494">
        <f t="shared" si="5"/>
        <v>4.0077621739999998</v>
      </c>
      <c r="S30" s="498">
        <f t="shared" si="0"/>
        <v>4.0077621739999998</v>
      </c>
      <c r="T30" s="498">
        <v>0</v>
      </c>
      <c r="U30" s="494">
        <v>0</v>
      </c>
      <c r="V30" s="498"/>
      <c r="W30" s="498">
        <f t="shared" si="1"/>
        <v>4.0077621739999998</v>
      </c>
    </row>
    <row r="31" spans="2:23" s="1" customFormat="1" ht="16" x14ac:dyDescent="0.3">
      <c r="B31" s="84"/>
      <c r="C31" s="99" t="s">
        <v>271</v>
      </c>
      <c r="D31" s="397">
        <f>SUM(D14:D30)</f>
        <v>39.68464105969786</v>
      </c>
      <c r="E31" s="397">
        <f t="shared" ref="E31:R31" si="8">SUM(E14:E30)</f>
        <v>13.163182396000002</v>
      </c>
      <c r="F31" s="397">
        <f>SUM(F14:F30)</f>
        <v>3.7608627740000005</v>
      </c>
      <c r="G31" s="397">
        <f t="shared" si="8"/>
        <v>0</v>
      </c>
      <c r="H31" s="397">
        <f t="shared" si="8"/>
        <v>49.086960681697853</v>
      </c>
      <c r="I31" s="397">
        <f t="shared" si="8"/>
        <v>49.086960681697853</v>
      </c>
      <c r="J31" s="397">
        <f t="shared" si="8"/>
        <v>7.5012711300000001</v>
      </c>
      <c r="K31" s="397">
        <f t="shared" si="8"/>
        <v>0.60096579100000003</v>
      </c>
      <c r="L31" s="397">
        <f t="shared" si="8"/>
        <v>0</v>
      </c>
      <c r="M31" s="397">
        <f t="shared" si="8"/>
        <v>55.987266020697852</v>
      </c>
      <c r="N31" s="397">
        <f t="shared" si="8"/>
        <v>55.987266020697852</v>
      </c>
      <c r="O31" s="397">
        <f t="shared" si="8"/>
        <v>47.932972300000003</v>
      </c>
      <c r="P31" s="397">
        <f t="shared" si="8"/>
        <v>0</v>
      </c>
      <c r="Q31" s="397">
        <f t="shared" si="8"/>
        <v>0</v>
      </c>
      <c r="R31" s="397">
        <f t="shared" si="8"/>
        <v>103.92023832069785</v>
      </c>
      <c r="S31" s="397">
        <f>SUM(S14:S30)</f>
        <v>103.92023832069785</v>
      </c>
      <c r="T31" s="397">
        <f>SUM(T14:T30)</f>
        <v>0.16126666666666664</v>
      </c>
      <c r="U31" s="397">
        <f>SUM(U14:U30)</f>
        <v>0</v>
      </c>
      <c r="V31" s="397">
        <f>SUM(V14:V30)</f>
        <v>0</v>
      </c>
      <c r="W31" s="397">
        <f>SUM(W14:W30)</f>
        <v>104.08150498736453</v>
      </c>
    </row>
    <row r="32" spans="2:23" s="1" customFormat="1" x14ac:dyDescent="0.3">
      <c r="B32" s="293"/>
      <c r="C32" s="8"/>
      <c r="D32" s="8"/>
      <c r="E32" s="8"/>
      <c r="F32" s="8"/>
      <c r="G32" s="8"/>
      <c r="H32" s="8"/>
      <c r="J32" s="42"/>
      <c r="M32" s="42"/>
      <c r="N32" s="42"/>
    </row>
    <row r="33" spans="2:23" x14ac:dyDescent="0.3">
      <c r="B33" s="1660" t="s">
        <v>612</v>
      </c>
      <c r="C33" s="1660"/>
      <c r="D33" s="1660"/>
      <c r="E33" s="1660"/>
      <c r="F33" s="1660"/>
      <c r="G33" s="1660"/>
      <c r="H33" s="8"/>
      <c r="I33" s="1"/>
      <c r="J33" s="42"/>
      <c r="K33" s="1"/>
      <c r="L33" s="1"/>
      <c r="M33" s="42"/>
      <c r="N33" s="42"/>
      <c r="O33" s="1"/>
      <c r="P33" s="1"/>
      <c r="Q33" s="1"/>
      <c r="R33" s="1"/>
    </row>
    <row r="34" spans="2:23" x14ac:dyDescent="0.3">
      <c r="B34" s="293"/>
      <c r="C34" s="8"/>
      <c r="D34" s="8"/>
      <c r="E34" s="8"/>
      <c r="F34" s="8"/>
      <c r="G34" s="8"/>
      <c r="H34" s="8"/>
      <c r="I34" s="1"/>
      <c r="J34" s="42"/>
      <c r="K34" s="1"/>
      <c r="L34" s="1"/>
      <c r="M34" s="42"/>
      <c r="N34" s="42"/>
      <c r="O34" s="1"/>
      <c r="P34" s="1"/>
      <c r="Q34" s="1"/>
      <c r="R34" s="1"/>
    </row>
    <row r="35" spans="2:23" ht="15.75" customHeight="1" x14ac:dyDescent="0.3">
      <c r="B35" s="293"/>
      <c r="C35" s="8"/>
      <c r="D35" s="8"/>
      <c r="E35" s="8"/>
      <c r="F35" s="8"/>
      <c r="G35" s="8"/>
      <c r="H35" s="8"/>
      <c r="I35" s="1"/>
      <c r="J35" s="42"/>
      <c r="K35" s="1"/>
      <c r="L35" s="1"/>
      <c r="M35" s="42"/>
      <c r="N35" s="42"/>
      <c r="O35" s="1"/>
      <c r="P35" s="1"/>
      <c r="Q35" s="1"/>
      <c r="R35" s="297" t="s">
        <v>10</v>
      </c>
    </row>
    <row r="36" spans="2:23" ht="15.75" customHeight="1" x14ac:dyDescent="0.3">
      <c r="B36" s="1521" t="s">
        <v>343</v>
      </c>
      <c r="C36" s="1521" t="s">
        <v>37</v>
      </c>
      <c r="D36" s="1656" t="s">
        <v>941</v>
      </c>
      <c r="E36" s="1657"/>
      <c r="F36" s="1657"/>
      <c r="G36" s="1657"/>
      <c r="H36" s="1658"/>
      <c r="I36" s="647" t="s">
        <v>945</v>
      </c>
      <c r="J36" s="648"/>
      <c r="K36" s="648"/>
      <c r="L36" s="648"/>
      <c r="M36" s="649"/>
      <c r="N36" s="1656" t="s">
        <v>942</v>
      </c>
      <c r="O36" s="1657"/>
      <c r="P36" s="1657"/>
      <c r="Q36" s="1657"/>
      <c r="R36" s="1658"/>
      <c r="S36" s="1656" t="s">
        <v>944</v>
      </c>
      <c r="T36" s="1657"/>
      <c r="U36" s="1657"/>
      <c r="V36" s="1657"/>
      <c r="W36" s="1658"/>
    </row>
    <row r="37" spans="2:23" s="34" customFormat="1" x14ac:dyDescent="0.3">
      <c r="B37" s="1521"/>
      <c r="C37" s="1521"/>
      <c r="D37" s="1649" t="s">
        <v>21</v>
      </c>
      <c r="E37" s="1650"/>
      <c r="F37" s="1650"/>
      <c r="G37" s="1650"/>
      <c r="H37" s="1651"/>
      <c r="I37" s="650" t="s">
        <v>21</v>
      </c>
      <c r="J37" s="651"/>
      <c r="K37" s="651"/>
      <c r="L37" s="651"/>
      <c r="M37" s="652"/>
      <c r="N37" s="1649" t="s">
        <v>21</v>
      </c>
      <c r="O37" s="1650"/>
      <c r="P37" s="1650"/>
      <c r="Q37" s="1650"/>
      <c r="R37" s="1651"/>
      <c r="S37" s="1652" t="s">
        <v>21</v>
      </c>
      <c r="T37" s="1653"/>
      <c r="U37" s="1653"/>
      <c r="V37" s="1653"/>
      <c r="W37" s="1653"/>
    </row>
    <row r="38" spans="2:23" s="35" customFormat="1" ht="42" x14ac:dyDescent="0.25">
      <c r="B38" s="1521"/>
      <c r="C38" s="1521"/>
      <c r="D38" s="653" t="s">
        <v>267</v>
      </c>
      <c r="E38" s="653" t="s">
        <v>268</v>
      </c>
      <c r="F38" s="653" t="s">
        <v>269</v>
      </c>
      <c r="G38" s="645" t="s">
        <v>601</v>
      </c>
      <c r="H38" s="653" t="s">
        <v>270</v>
      </c>
      <c r="I38" s="653" t="s">
        <v>267</v>
      </c>
      <c r="J38" s="653" t="s">
        <v>268</v>
      </c>
      <c r="K38" s="653" t="s">
        <v>269</v>
      </c>
      <c r="L38" s="645" t="s">
        <v>601</v>
      </c>
      <c r="M38" s="653" t="s">
        <v>270</v>
      </c>
      <c r="N38" s="653" t="s">
        <v>267</v>
      </c>
      <c r="O38" s="653" t="s">
        <v>268</v>
      </c>
      <c r="P38" s="653" t="s">
        <v>269</v>
      </c>
      <c r="Q38" s="645" t="s">
        <v>601</v>
      </c>
      <c r="R38" s="653" t="s">
        <v>270</v>
      </c>
      <c r="S38" s="594" t="s">
        <v>267</v>
      </c>
      <c r="T38" s="594" t="s">
        <v>268</v>
      </c>
      <c r="U38" s="594" t="s">
        <v>269</v>
      </c>
      <c r="V38" s="592" t="s">
        <v>601</v>
      </c>
      <c r="W38" s="594" t="s">
        <v>270</v>
      </c>
    </row>
    <row r="39" spans="2:23" s="6" customFormat="1" ht="28" x14ac:dyDescent="0.3">
      <c r="B39" s="298"/>
      <c r="C39" s="298"/>
      <c r="D39" s="298" t="s">
        <v>675</v>
      </c>
      <c r="E39" s="298" t="s">
        <v>676</v>
      </c>
      <c r="F39" s="298" t="s">
        <v>677</v>
      </c>
      <c r="G39" s="298" t="s">
        <v>678</v>
      </c>
      <c r="H39" s="298" t="s">
        <v>679</v>
      </c>
      <c r="I39" s="298" t="s">
        <v>680</v>
      </c>
      <c r="J39" s="298" t="s">
        <v>681</v>
      </c>
      <c r="K39" s="298" t="s">
        <v>682</v>
      </c>
      <c r="L39" s="298" t="s">
        <v>683</v>
      </c>
      <c r="M39" s="298" t="s">
        <v>684</v>
      </c>
      <c r="N39" s="298" t="s">
        <v>955</v>
      </c>
      <c r="O39" s="298" t="s">
        <v>956</v>
      </c>
      <c r="P39" s="298" t="s">
        <v>957</v>
      </c>
      <c r="Q39" s="298" t="s">
        <v>958</v>
      </c>
      <c r="R39" s="298" t="s">
        <v>959</v>
      </c>
      <c r="S39" s="298" t="s">
        <v>960</v>
      </c>
      <c r="T39" s="298" t="s">
        <v>961</v>
      </c>
      <c r="U39" s="298" t="s">
        <v>962</v>
      </c>
      <c r="V39" s="298" t="s">
        <v>963</v>
      </c>
      <c r="W39" s="298" t="s">
        <v>964</v>
      </c>
    </row>
    <row r="40" spans="2:23" s="6" customFormat="1" x14ac:dyDescent="0.3">
      <c r="B40" s="96">
        <v>1</v>
      </c>
      <c r="C40" s="299" t="s">
        <v>860</v>
      </c>
      <c r="D40" s="494">
        <f t="shared" ref="D40:D56" si="9">W14</f>
        <v>3.6840629179811686E-2</v>
      </c>
      <c r="E40" s="498">
        <v>0</v>
      </c>
      <c r="F40" s="494">
        <v>0</v>
      </c>
      <c r="G40" s="498"/>
      <c r="H40" s="494">
        <f t="shared" ref="H40:H56" si="10">D40+E40-F40-G40</f>
        <v>3.6840629179811686E-2</v>
      </c>
      <c r="I40" s="494">
        <f t="shared" ref="I40:I56" si="11">H40</f>
        <v>3.6840629179811686E-2</v>
      </c>
      <c r="J40" s="498">
        <v>0</v>
      </c>
      <c r="K40" s="494">
        <v>0</v>
      </c>
      <c r="L40" s="498"/>
      <c r="M40" s="494">
        <f t="shared" ref="M40:M56" si="12">I40+J40-K40-L40</f>
        <v>3.6840629179811686E-2</v>
      </c>
      <c r="N40" s="494">
        <f t="shared" ref="N40:N56" si="13">M40</f>
        <v>3.6840629179811686E-2</v>
      </c>
      <c r="O40" s="498">
        <v>0</v>
      </c>
      <c r="P40" s="494">
        <v>0</v>
      </c>
      <c r="Q40" s="498"/>
      <c r="R40" s="494">
        <f t="shared" ref="R40:R56" si="14">N40+O40-P40-Q40</f>
        <v>3.6840629179811686E-2</v>
      </c>
      <c r="S40" s="494">
        <f t="shared" ref="S40:S56" si="15">R40</f>
        <v>3.6840629179811686E-2</v>
      </c>
      <c r="T40" s="498">
        <v>0</v>
      </c>
      <c r="U40" s="494">
        <v>0</v>
      </c>
      <c r="V40" s="498"/>
      <c r="W40" s="494">
        <f t="shared" ref="W40:W56" si="16">S40+T40-U40-V40</f>
        <v>3.6840629179811686E-2</v>
      </c>
    </row>
    <row r="41" spans="2:23" s="6" customFormat="1" x14ac:dyDescent="0.3">
      <c r="B41" s="96">
        <f>B40+1</f>
        <v>2</v>
      </c>
      <c r="C41" s="299" t="s">
        <v>255</v>
      </c>
      <c r="D41" s="494">
        <f t="shared" si="9"/>
        <v>10.536516541799276</v>
      </c>
      <c r="E41" s="498">
        <v>0</v>
      </c>
      <c r="F41" s="494">
        <v>0</v>
      </c>
      <c r="G41" s="498"/>
      <c r="H41" s="494">
        <f t="shared" si="10"/>
        <v>10.536516541799276</v>
      </c>
      <c r="I41" s="494">
        <f t="shared" si="11"/>
        <v>10.536516541799276</v>
      </c>
      <c r="J41" s="498">
        <v>0</v>
      </c>
      <c r="K41" s="494">
        <v>0</v>
      </c>
      <c r="L41" s="498"/>
      <c r="M41" s="494">
        <f t="shared" si="12"/>
        <v>10.536516541799276</v>
      </c>
      <c r="N41" s="494">
        <f t="shared" si="13"/>
        <v>10.536516541799276</v>
      </c>
      <c r="O41" s="498">
        <v>0</v>
      </c>
      <c r="P41" s="494">
        <v>0</v>
      </c>
      <c r="Q41" s="498"/>
      <c r="R41" s="494">
        <f t="shared" si="14"/>
        <v>10.536516541799276</v>
      </c>
      <c r="S41" s="494">
        <f t="shared" si="15"/>
        <v>10.536516541799276</v>
      </c>
      <c r="T41" s="498">
        <v>0</v>
      </c>
      <c r="U41" s="494">
        <v>0</v>
      </c>
      <c r="V41" s="498"/>
      <c r="W41" s="494">
        <f t="shared" si="16"/>
        <v>10.536516541799276</v>
      </c>
    </row>
    <row r="42" spans="2:23" ht="28" x14ac:dyDescent="0.3">
      <c r="B42" s="96">
        <f t="shared" ref="B42:B56" si="17">B41+1</f>
        <v>3</v>
      </c>
      <c r="C42" s="300" t="s">
        <v>861</v>
      </c>
      <c r="D42" s="494">
        <f t="shared" si="9"/>
        <v>0</v>
      </c>
      <c r="E42" s="498">
        <v>0</v>
      </c>
      <c r="F42" s="494">
        <v>0</v>
      </c>
      <c r="G42" s="498"/>
      <c r="H42" s="494">
        <f t="shared" si="10"/>
        <v>0</v>
      </c>
      <c r="I42" s="494">
        <f t="shared" si="11"/>
        <v>0</v>
      </c>
      <c r="J42" s="498">
        <v>0</v>
      </c>
      <c r="K42" s="494">
        <v>0</v>
      </c>
      <c r="L42" s="498"/>
      <c r="M42" s="494">
        <f t="shared" si="12"/>
        <v>0</v>
      </c>
      <c r="N42" s="494">
        <f t="shared" si="13"/>
        <v>0</v>
      </c>
      <c r="O42" s="498">
        <v>0</v>
      </c>
      <c r="P42" s="494">
        <v>0</v>
      </c>
      <c r="Q42" s="498"/>
      <c r="R42" s="494">
        <f t="shared" si="14"/>
        <v>0</v>
      </c>
      <c r="S42" s="494">
        <f t="shared" si="15"/>
        <v>0</v>
      </c>
      <c r="T42" s="498">
        <v>0</v>
      </c>
      <c r="U42" s="494">
        <v>0</v>
      </c>
      <c r="V42" s="498"/>
      <c r="W42" s="494">
        <f t="shared" si="16"/>
        <v>0</v>
      </c>
    </row>
    <row r="43" spans="2:23" x14ac:dyDescent="0.3">
      <c r="B43" s="96">
        <f t="shared" si="17"/>
        <v>4</v>
      </c>
      <c r="C43" s="300" t="s">
        <v>862</v>
      </c>
      <c r="D43" s="494">
        <f t="shared" si="9"/>
        <v>1.0326954731154423</v>
      </c>
      <c r="E43" s="498">
        <v>0</v>
      </c>
      <c r="F43" s="494">
        <v>0</v>
      </c>
      <c r="G43" s="498"/>
      <c r="H43" s="494">
        <f t="shared" si="10"/>
        <v>1.0326954731154423</v>
      </c>
      <c r="I43" s="494">
        <f t="shared" si="11"/>
        <v>1.0326954731154423</v>
      </c>
      <c r="J43" s="498">
        <v>0</v>
      </c>
      <c r="K43" s="494">
        <v>0</v>
      </c>
      <c r="L43" s="498"/>
      <c r="M43" s="494">
        <f t="shared" si="12"/>
        <v>1.0326954731154423</v>
      </c>
      <c r="N43" s="494">
        <f t="shared" si="13"/>
        <v>1.0326954731154423</v>
      </c>
      <c r="O43" s="498">
        <v>0</v>
      </c>
      <c r="P43" s="494">
        <v>0</v>
      </c>
      <c r="Q43" s="498"/>
      <c r="R43" s="494">
        <f t="shared" si="14"/>
        <v>1.0326954731154423</v>
      </c>
      <c r="S43" s="494">
        <f t="shared" si="15"/>
        <v>1.0326954731154423</v>
      </c>
      <c r="T43" s="498">
        <v>0</v>
      </c>
      <c r="U43" s="494">
        <v>0</v>
      </c>
      <c r="V43" s="498"/>
      <c r="W43" s="494">
        <f t="shared" si="16"/>
        <v>1.0326954731154423</v>
      </c>
    </row>
    <row r="44" spans="2:23" x14ac:dyDescent="0.3">
      <c r="B44" s="96">
        <f t="shared" si="17"/>
        <v>5</v>
      </c>
      <c r="C44" s="300" t="s">
        <v>863</v>
      </c>
      <c r="D44" s="494">
        <f t="shared" si="9"/>
        <v>11.724588109603451</v>
      </c>
      <c r="E44" s="498">
        <v>0</v>
      </c>
      <c r="F44" s="494">
        <v>0</v>
      </c>
      <c r="G44" s="498"/>
      <c r="H44" s="494">
        <f t="shared" si="10"/>
        <v>11.724588109603451</v>
      </c>
      <c r="I44" s="494">
        <f t="shared" si="11"/>
        <v>11.724588109603451</v>
      </c>
      <c r="J44" s="498">
        <v>0</v>
      </c>
      <c r="K44" s="494">
        <v>0</v>
      </c>
      <c r="L44" s="498"/>
      <c r="M44" s="494">
        <f t="shared" si="12"/>
        <v>11.724588109603451</v>
      </c>
      <c r="N44" s="494">
        <f t="shared" si="13"/>
        <v>11.724588109603451</v>
      </c>
      <c r="O44" s="498">
        <v>2.333333333333333</v>
      </c>
      <c r="P44" s="494">
        <v>0</v>
      </c>
      <c r="Q44" s="498"/>
      <c r="R44" s="494">
        <f t="shared" si="14"/>
        <v>14.057921442936784</v>
      </c>
      <c r="S44" s="494">
        <f t="shared" si="15"/>
        <v>14.057921442936784</v>
      </c>
      <c r="T44" s="498">
        <v>0</v>
      </c>
      <c r="U44" s="494">
        <v>0</v>
      </c>
      <c r="V44" s="498"/>
      <c r="W44" s="494">
        <f t="shared" si="16"/>
        <v>14.057921442936784</v>
      </c>
    </row>
    <row r="45" spans="2:23" x14ac:dyDescent="0.3">
      <c r="B45" s="96">
        <f t="shared" si="17"/>
        <v>6</v>
      </c>
      <c r="C45" s="299" t="s">
        <v>254</v>
      </c>
      <c r="D45" s="494">
        <f t="shared" si="9"/>
        <v>64.562257753722719</v>
      </c>
      <c r="E45" s="498">
        <v>0</v>
      </c>
      <c r="F45" s="494">
        <v>0</v>
      </c>
      <c r="G45" s="498"/>
      <c r="H45" s="494">
        <f t="shared" si="10"/>
        <v>64.562257753722719</v>
      </c>
      <c r="I45" s="494">
        <f t="shared" si="11"/>
        <v>64.562257753722719</v>
      </c>
      <c r="J45" s="498">
        <v>0</v>
      </c>
      <c r="K45" s="494">
        <v>0</v>
      </c>
      <c r="L45" s="498"/>
      <c r="M45" s="494">
        <f t="shared" si="12"/>
        <v>64.562257753722719</v>
      </c>
      <c r="N45" s="494">
        <f t="shared" si="13"/>
        <v>64.562257753722719</v>
      </c>
      <c r="O45" s="498">
        <v>25.4</v>
      </c>
      <c r="P45" s="494">
        <v>0</v>
      </c>
      <c r="Q45" s="498"/>
      <c r="R45" s="494">
        <f t="shared" si="14"/>
        <v>89.962257753722724</v>
      </c>
      <c r="S45" s="494">
        <f t="shared" si="15"/>
        <v>89.962257753722724</v>
      </c>
      <c r="T45" s="498">
        <v>0</v>
      </c>
      <c r="U45" s="494">
        <v>0</v>
      </c>
      <c r="V45" s="498"/>
      <c r="W45" s="494">
        <f t="shared" si="16"/>
        <v>89.962257753722724</v>
      </c>
    </row>
    <row r="46" spans="2:23" x14ac:dyDescent="0.3">
      <c r="B46" s="96">
        <f t="shared" si="17"/>
        <v>7</v>
      </c>
      <c r="C46" s="299" t="s">
        <v>864</v>
      </c>
      <c r="D46" s="494">
        <f t="shared" si="9"/>
        <v>1.1980801906468508</v>
      </c>
      <c r="E46" s="498">
        <v>0</v>
      </c>
      <c r="F46" s="494">
        <v>0</v>
      </c>
      <c r="G46" s="498"/>
      <c r="H46" s="494">
        <f t="shared" si="10"/>
        <v>1.1980801906468508</v>
      </c>
      <c r="I46" s="494">
        <f t="shared" si="11"/>
        <v>1.1980801906468508</v>
      </c>
      <c r="J46" s="498">
        <v>0</v>
      </c>
      <c r="K46" s="494">
        <v>0</v>
      </c>
      <c r="L46" s="498"/>
      <c r="M46" s="494">
        <f t="shared" si="12"/>
        <v>1.1980801906468508</v>
      </c>
      <c r="N46" s="494">
        <f t="shared" si="13"/>
        <v>1.1980801906468508</v>
      </c>
      <c r="O46" s="498">
        <v>0</v>
      </c>
      <c r="P46" s="494">
        <v>0</v>
      </c>
      <c r="Q46" s="498"/>
      <c r="R46" s="494">
        <f t="shared" si="14"/>
        <v>1.1980801906468508</v>
      </c>
      <c r="S46" s="494">
        <f t="shared" si="15"/>
        <v>1.1980801906468508</v>
      </c>
      <c r="T46" s="498">
        <v>0</v>
      </c>
      <c r="U46" s="494">
        <v>0</v>
      </c>
      <c r="V46" s="498"/>
      <c r="W46" s="494">
        <f t="shared" si="16"/>
        <v>1.1980801906468508</v>
      </c>
    </row>
    <row r="47" spans="2:23" x14ac:dyDescent="0.3">
      <c r="B47" s="96">
        <f t="shared" si="17"/>
        <v>8</v>
      </c>
      <c r="C47" s="299" t="s">
        <v>865</v>
      </c>
      <c r="D47" s="494">
        <f t="shared" si="9"/>
        <v>0</v>
      </c>
      <c r="E47" s="498">
        <v>0</v>
      </c>
      <c r="F47" s="494">
        <v>0</v>
      </c>
      <c r="G47" s="498"/>
      <c r="H47" s="494">
        <f t="shared" si="10"/>
        <v>0</v>
      </c>
      <c r="I47" s="494">
        <f t="shared" si="11"/>
        <v>0</v>
      </c>
      <c r="J47" s="498">
        <v>0</v>
      </c>
      <c r="K47" s="494">
        <v>0</v>
      </c>
      <c r="L47" s="498"/>
      <c r="M47" s="494">
        <f t="shared" si="12"/>
        <v>0</v>
      </c>
      <c r="N47" s="494">
        <f t="shared" si="13"/>
        <v>0</v>
      </c>
      <c r="O47" s="498">
        <v>0</v>
      </c>
      <c r="P47" s="494">
        <v>0</v>
      </c>
      <c r="Q47" s="498"/>
      <c r="R47" s="494">
        <f t="shared" si="14"/>
        <v>0</v>
      </c>
      <c r="S47" s="494">
        <f t="shared" si="15"/>
        <v>0</v>
      </c>
      <c r="T47" s="498">
        <v>0</v>
      </c>
      <c r="U47" s="494">
        <v>0</v>
      </c>
      <c r="V47" s="498"/>
      <c r="W47" s="494">
        <f t="shared" si="16"/>
        <v>0</v>
      </c>
    </row>
    <row r="48" spans="2:23" x14ac:dyDescent="0.3">
      <c r="B48" s="96">
        <f t="shared" si="17"/>
        <v>9</v>
      </c>
      <c r="C48" s="299" t="s">
        <v>866</v>
      </c>
      <c r="D48" s="494">
        <f t="shared" si="9"/>
        <v>2.4760351889857151</v>
      </c>
      <c r="E48" s="498">
        <v>0</v>
      </c>
      <c r="F48" s="494">
        <v>0</v>
      </c>
      <c r="G48" s="498"/>
      <c r="H48" s="494">
        <f t="shared" si="10"/>
        <v>2.4760351889857151</v>
      </c>
      <c r="I48" s="494">
        <f t="shared" si="11"/>
        <v>2.4760351889857151</v>
      </c>
      <c r="J48" s="498">
        <v>0</v>
      </c>
      <c r="K48" s="494">
        <v>0</v>
      </c>
      <c r="L48" s="498"/>
      <c r="M48" s="494">
        <f t="shared" si="12"/>
        <v>2.4760351889857151</v>
      </c>
      <c r="N48" s="494">
        <f t="shared" si="13"/>
        <v>2.4760351889857151</v>
      </c>
      <c r="O48" s="498">
        <v>0</v>
      </c>
      <c r="P48" s="494">
        <v>0</v>
      </c>
      <c r="Q48" s="498"/>
      <c r="R48" s="494">
        <f t="shared" si="14"/>
        <v>2.4760351889857151</v>
      </c>
      <c r="S48" s="494">
        <f t="shared" si="15"/>
        <v>2.4760351889857151</v>
      </c>
      <c r="T48" s="498">
        <v>0</v>
      </c>
      <c r="U48" s="494">
        <v>0</v>
      </c>
      <c r="V48" s="498"/>
      <c r="W48" s="494">
        <f t="shared" si="16"/>
        <v>2.4760351889857151</v>
      </c>
    </row>
    <row r="49" spans="2:23" x14ac:dyDescent="0.3">
      <c r="B49" s="96">
        <f t="shared" si="17"/>
        <v>10</v>
      </c>
      <c r="C49" s="299" t="s">
        <v>258</v>
      </c>
      <c r="D49" s="494">
        <f t="shared" si="9"/>
        <v>1.4729866408074528</v>
      </c>
      <c r="E49" s="498">
        <v>0</v>
      </c>
      <c r="F49" s="494">
        <v>0</v>
      </c>
      <c r="G49" s="498"/>
      <c r="H49" s="494">
        <f t="shared" si="10"/>
        <v>1.4729866408074528</v>
      </c>
      <c r="I49" s="494">
        <f t="shared" si="11"/>
        <v>1.4729866408074528</v>
      </c>
      <c r="J49" s="498">
        <v>0</v>
      </c>
      <c r="K49" s="494">
        <v>0</v>
      </c>
      <c r="L49" s="498"/>
      <c r="M49" s="494">
        <f t="shared" si="12"/>
        <v>1.4729866408074528</v>
      </c>
      <c r="N49" s="494">
        <f t="shared" si="13"/>
        <v>1.4729866408074528</v>
      </c>
      <c r="O49" s="498">
        <v>0</v>
      </c>
      <c r="P49" s="494">
        <v>0</v>
      </c>
      <c r="Q49" s="498"/>
      <c r="R49" s="494">
        <f t="shared" si="14"/>
        <v>1.4729866408074528</v>
      </c>
      <c r="S49" s="494">
        <f t="shared" si="15"/>
        <v>1.4729866408074528</v>
      </c>
      <c r="T49" s="498">
        <v>0</v>
      </c>
      <c r="U49" s="494">
        <v>0</v>
      </c>
      <c r="V49" s="498"/>
      <c r="W49" s="494">
        <f t="shared" si="16"/>
        <v>1.4729866408074528</v>
      </c>
    </row>
    <row r="50" spans="2:23" x14ac:dyDescent="0.3">
      <c r="B50" s="96">
        <f t="shared" si="17"/>
        <v>11</v>
      </c>
      <c r="C50" s="299" t="s">
        <v>259</v>
      </c>
      <c r="D50" s="494">
        <f t="shared" si="9"/>
        <v>3.0217228723922309</v>
      </c>
      <c r="E50" s="498">
        <v>0</v>
      </c>
      <c r="F50" s="494">
        <v>0</v>
      </c>
      <c r="G50" s="498"/>
      <c r="H50" s="494">
        <f t="shared" si="10"/>
        <v>3.0217228723922309</v>
      </c>
      <c r="I50" s="494">
        <f t="shared" si="11"/>
        <v>3.0217228723922309</v>
      </c>
      <c r="J50" s="498">
        <v>0</v>
      </c>
      <c r="K50" s="494">
        <v>0</v>
      </c>
      <c r="L50" s="498"/>
      <c r="M50" s="494">
        <f t="shared" si="12"/>
        <v>3.0217228723922309</v>
      </c>
      <c r="N50" s="494">
        <f t="shared" si="13"/>
        <v>3.0217228723922309</v>
      </c>
      <c r="O50" s="498">
        <v>0</v>
      </c>
      <c r="P50" s="494">
        <v>0</v>
      </c>
      <c r="Q50" s="498"/>
      <c r="R50" s="494">
        <f t="shared" si="14"/>
        <v>3.0217228723922309</v>
      </c>
      <c r="S50" s="494">
        <f t="shared" si="15"/>
        <v>3.0217228723922309</v>
      </c>
      <c r="T50" s="498">
        <v>0</v>
      </c>
      <c r="U50" s="494">
        <v>0</v>
      </c>
      <c r="V50" s="498"/>
      <c r="W50" s="494">
        <f t="shared" si="16"/>
        <v>3.0217228723922309</v>
      </c>
    </row>
    <row r="51" spans="2:23" s="1" customFormat="1" x14ac:dyDescent="0.3">
      <c r="B51" s="96">
        <f t="shared" si="17"/>
        <v>12</v>
      </c>
      <c r="C51" s="299" t="s">
        <v>260</v>
      </c>
      <c r="D51" s="494">
        <f t="shared" si="9"/>
        <v>2.5880001347603501</v>
      </c>
      <c r="E51" s="498">
        <v>0</v>
      </c>
      <c r="F51" s="494">
        <v>0</v>
      </c>
      <c r="G51" s="498"/>
      <c r="H51" s="494">
        <f t="shared" si="10"/>
        <v>2.5880001347603501</v>
      </c>
      <c r="I51" s="494">
        <f t="shared" si="11"/>
        <v>2.5880001347603501</v>
      </c>
      <c r="J51" s="498">
        <v>0</v>
      </c>
      <c r="K51" s="494">
        <v>0</v>
      </c>
      <c r="L51" s="498"/>
      <c r="M51" s="494">
        <f t="shared" si="12"/>
        <v>2.5880001347603501</v>
      </c>
      <c r="N51" s="494">
        <f t="shared" si="13"/>
        <v>2.5880001347603501</v>
      </c>
      <c r="O51" s="498">
        <v>0</v>
      </c>
      <c r="P51" s="494">
        <v>0</v>
      </c>
      <c r="Q51" s="498"/>
      <c r="R51" s="494">
        <f t="shared" si="14"/>
        <v>2.5880001347603501</v>
      </c>
      <c r="S51" s="494">
        <f t="shared" si="15"/>
        <v>2.5880001347603501</v>
      </c>
      <c r="T51" s="498">
        <v>0</v>
      </c>
      <c r="U51" s="494">
        <v>0</v>
      </c>
      <c r="V51" s="498"/>
      <c r="W51" s="494">
        <f t="shared" si="16"/>
        <v>2.5880001347603501</v>
      </c>
    </row>
    <row r="52" spans="2:23" s="1" customFormat="1" x14ac:dyDescent="0.3">
      <c r="B52" s="96">
        <f t="shared" si="17"/>
        <v>13</v>
      </c>
      <c r="C52" s="497" t="s">
        <v>874</v>
      </c>
      <c r="D52" s="494">
        <f t="shared" si="9"/>
        <v>0</v>
      </c>
      <c r="E52" s="498">
        <v>0</v>
      </c>
      <c r="F52" s="494">
        <v>0</v>
      </c>
      <c r="G52" s="498"/>
      <c r="H52" s="494">
        <f t="shared" si="10"/>
        <v>0</v>
      </c>
      <c r="I52" s="494">
        <f t="shared" si="11"/>
        <v>0</v>
      </c>
      <c r="J52" s="498">
        <v>0</v>
      </c>
      <c r="K52" s="494">
        <v>0</v>
      </c>
      <c r="L52" s="498"/>
      <c r="M52" s="494">
        <f t="shared" si="12"/>
        <v>0</v>
      </c>
      <c r="N52" s="494">
        <f t="shared" si="13"/>
        <v>0</v>
      </c>
      <c r="O52" s="498">
        <v>0</v>
      </c>
      <c r="P52" s="494">
        <v>0</v>
      </c>
      <c r="Q52" s="498"/>
      <c r="R52" s="494">
        <f t="shared" si="14"/>
        <v>0</v>
      </c>
      <c r="S52" s="494">
        <f t="shared" si="15"/>
        <v>0</v>
      </c>
      <c r="T52" s="498">
        <v>0</v>
      </c>
      <c r="U52" s="494">
        <v>0</v>
      </c>
      <c r="V52" s="498"/>
      <c r="W52" s="494">
        <f t="shared" si="16"/>
        <v>0</v>
      </c>
    </row>
    <row r="53" spans="2:23" s="1" customFormat="1" x14ac:dyDescent="0.3">
      <c r="B53" s="96">
        <f t="shared" si="17"/>
        <v>14</v>
      </c>
      <c r="C53" s="497" t="s">
        <v>875</v>
      </c>
      <c r="D53" s="494">
        <f t="shared" si="9"/>
        <v>0</v>
      </c>
      <c r="E53" s="498">
        <v>0</v>
      </c>
      <c r="F53" s="494">
        <v>0</v>
      </c>
      <c r="G53" s="498"/>
      <c r="H53" s="494">
        <f t="shared" si="10"/>
        <v>0</v>
      </c>
      <c r="I53" s="494">
        <f t="shared" si="11"/>
        <v>0</v>
      </c>
      <c r="J53" s="498">
        <v>0</v>
      </c>
      <c r="K53" s="494">
        <v>0</v>
      </c>
      <c r="L53" s="498"/>
      <c r="M53" s="494">
        <f t="shared" si="12"/>
        <v>0</v>
      </c>
      <c r="N53" s="494">
        <f t="shared" si="13"/>
        <v>0</v>
      </c>
      <c r="O53" s="498">
        <v>0</v>
      </c>
      <c r="P53" s="494">
        <v>0</v>
      </c>
      <c r="Q53" s="498"/>
      <c r="R53" s="494">
        <f t="shared" si="14"/>
        <v>0</v>
      </c>
      <c r="S53" s="494">
        <f t="shared" si="15"/>
        <v>0</v>
      </c>
      <c r="T53" s="498">
        <v>0</v>
      </c>
      <c r="U53" s="494">
        <v>0</v>
      </c>
      <c r="V53" s="498"/>
      <c r="W53" s="494">
        <f t="shared" si="16"/>
        <v>0</v>
      </c>
    </row>
    <row r="54" spans="2:23" s="1" customFormat="1" x14ac:dyDescent="0.3">
      <c r="B54" s="96">
        <f t="shared" si="17"/>
        <v>15</v>
      </c>
      <c r="C54" s="497" t="s">
        <v>876</v>
      </c>
      <c r="D54" s="494">
        <f t="shared" si="9"/>
        <v>0</v>
      </c>
      <c r="E54" s="498">
        <v>0</v>
      </c>
      <c r="F54" s="494">
        <v>0</v>
      </c>
      <c r="G54" s="498"/>
      <c r="H54" s="494">
        <f t="shared" si="10"/>
        <v>0</v>
      </c>
      <c r="I54" s="494">
        <f t="shared" si="11"/>
        <v>0</v>
      </c>
      <c r="J54" s="498">
        <v>0</v>
      </c>
      <c r="K54" s="494">
        <v>0</v>
      </c>
      <c r="L54" s="498"/>
      <c r="M54" s="494">
        <f t="shared" si="12"/>
        <v>0</v>
      </c>
      <c r="N54" s="494">
        <f t="shared" si="13"/>
        <v>0</v>
      </c>
      <c r="O54" s="498">
        <v>0</v>
      </c>
      <c r="P54" s="494">
        <v>0</v>
      </c>
      <c r="Q54" s="498"/>
      <c r="R54" s="494">
        <f t="shared" si="14"/>
        <v>0</v>
      </c>
      <c r="S54" s="494">
        <f t="shared" si="15"/>
        <v>0</v>
      </c>
      <c r="T54" s="498">
        <v>0</v>
      </c>
      <c r="U54" s="494">
        <v>0</v>
      </c>
      <c r="V54" s="498"/>
      <c r="W54" s="494">
        <f t="shared" si="16"/>
        <v>0</v>
      </c>
    </row>
    <row r="55" spans="2:23" s="1" customFormat="1" x14ac:dyDescent="0.3">
      <c r="B55" s="96">
        <f t="shared" si="17"/>
        <v>16</v>
      </c>
      <c r="C55" s="497" t="s">
        <v>867</v>
      </c>
      <c r="D55" s="494">
        <f t="shared" si="9"/>
        <v>1.424019278351218</v>
      </c>
      <c r="E55" s="498">
        <v>0</v>
      </c>
      <c r="F55" s="494">
        <v>0</v>
      </c>
      <c r="G55" s="498"/>
      <c r="H55" s="494">
        <f t="shared" si="10"/>
        <v>1.424019278351218</v>
      </c>
      <c r="I55" s="494">
        <f t="shared" si="11"/>
        <v>1.424019278351218</v>
      </c>
      <c r="J55" s="498">
        <v>0</v>
      </c>
      <c r="K55" s="494">
        <v>0</v>
      </c>
      <c r="L55" s="498"/>
      <c r="M55" s="494">
        <f t="shared" si="12"/>
        <v>1.424019278351218</v>
      </c>
      <c r="N55" s="494">
        <f t="shared" si="13"/>
        <v>1.424019278351218</v>
      </c>
      <c r="O55" s="498">
        <v>0</v>
      </c>
      <c r="P55" s="494">
        <v>0</v>
      </c>
      <c r="Q55" s="498"/>
      <c r="R55" s="494">
        <f t="shared" si="14"/>
        <v>1.424019278351218</v>
      </c>
      <c r="S55" s="494">
        <f t="shared" si="15"/>
        <v>1.424019278351218</v>
      </c>
      <c r="T55" s="498">
        <v>0</v>
      </c>
      <c r="U55" s="494">
        <v>0</v>
      </c>
      <c r="V55" s="498"/>
      <c r="W55" s="494">
        <f t="shared" si="16"/>
        <v>1.424019278351218</v>
      </c>
    </row>
    <row r="56" spans="2:23" s="1" customFormat="1" x14ac:dyDescent="0.3">
      <c r="B56" s="96">
        <f t="shared" si="17"/>
        <v>17</v>
      </c>
      <c r="C56" s="497" t="s">
        <v>877</v>
      </c>
      <c r="D56" s="494">
        <f t="shared" si="9"/>
        <v>4.0077621739999998</v>
      </c>
      <c r="E56" s="498">
        <v>0</v>
      </c>
      <c r="F56" s="494">
        <v>0</v>
      </c>
      <c r="G56" s="498"/>
      <c r="H56" s="494">
        <f t="shared" si="10"/>
        <v>4.0077621739999998</v>
      </c>
      <c r="I56" s="494">
        <f t="shared" si="11"/>
        <v>4.0077621739999998</v>
      </c>
      <c r="J56" s="498">
        <v>0</v>
      </c>
      <c r="K56" s="494">
        <v>0</v>
      </c>
      <c r="L56" s="498"/>
      <c r="M56" s="494">
        <f t="shared" si="12"/>
        <v>4.0077621739999998</v>
      </c>
      <c r="N56" s="494">
        <f t="shared" si="13"/>
        <v>4.0077621739999998</v>
      </c>
      <c r="O56" s="498">
        <v>0</v>
      </c>
      <c r="P56" s="494">
        <v>0</v>
      </c>
      <c r="Q56" s="498"/>
      <c r="R56" s="494">
        <f t="shared" si="14"/>
        <v>4.0077621739999998</v>
      </c>
      <c r="S56" s="494">
        <f t="shared" si="15"/>
        <v>4.0077621739999998</v>
      </c>
      <c r="T56" s="498">
        <v>0</v>
      </c>
      <c r="U56" s="494">
        <v>0</v>
      </c>
      <c r="V56" s="498"/>
      <c r="W56" s="494">
        <f t="shared" si="16"/>
        <v>4.0077621739999998</v>
      </c>
    </row>
    <row r="57" spans="2:23" s="1" customFormat="1" ht="16" x14ac:dyDescent="0.3">
      <c r="B57" s="84"/>
      <c r="C57" s="99" t="s">
        <v>271</v>
      </c>
      <c r="D57" s="397">
        <f t="shared" ref="D57:W57" si="18">SUM(D40:D56)</f>
        <v>104.08150498736453</v>
      </c>
      <c r="E57" s="397">
        <f t="shared" si="18"/>
        <v>0</v>
      </c>
      <c r="F57" s="397">
        <f t="shared" si="18"/>
        <v>0</v>
      </c>
      <c r="G57" s="397">
        <f t="shared" si="18"/>
        <v>0</v>
      </c>
      <c r="H57" s="397">
        <f t="shared" si="18"/>
        <v>104.08150498736453</v>
      </c>
      <c r="I57" s="397">
        <f t="shared" si="18"/>
        <v>104.08150498736453</v>
      </c>
      <c r="J57" s="397">
        <f t="shared" si="18"/>
        <v>0</v>
      </c>
      <c r="K57" s="397">
        <f t="shared" si="18"/>
        <v>0</v>
      </c>
      <c r="L57" s="397">
        <f t="shared" si="18"/>
        <v>0</v>
      </c>
      <c r="M57" s="397">
        <f t="shared" si="18"/>
        <v>104.08150498736453</v>
      </c>
      <c r="N57" s="397">
        <f t="shared" si="18"/>
        <v>104.08150498736453</v>
      </c>
      <c r="O57" s="397">
        <f t="shared" si="18"/>
        <v>27.733333333333331</v>
      </c>
      <c r="P57" s="397">
        <f t="shared" si="18"/>
        <v>0</v>
      </c>
      <c r="Q57" s="397">
        <f t="shared" si="18"/>
        <v>0</v>
      </c>
      <c r="R57" s="397">
        <f t="shared" si="18"/>
        <v>131.81483832069785</v>
      </c>
      <c r="S57" s="397">
        <f t="shared" si="18"/>
        <v>131.81483832069785</v>
      </c>
      <c r="T57" s="397">
        <f t="shared" si="18"/>
        <v>0</v>
      </c>
      <c r="U57" s="397">
        <f t="shared" si="18"/>
        <v>0</v>
      </c>
      <c r="V57" s="397">
        <f t="shared" si="18"/>
        <v>0</v>
      </c>
      <c r="W57" s="397">
        <f t="shared" si="18"/>
        <v>131.81483832069785</v>
      </c>
    </row>
    <row r="58" spans="2:23" s="1" customFormat="1" ht="16" x14ac:dyDescent="0.3">
      <c r="B58" s="302"/>
      <c r="C58" s="302"/>
      <c r="D58" s="302"/>
      <c r="E58" s="302"/>
      <c r="F58" s="302"/>
      <c r="G58" s="302"/>
      <c r="H58" s="302"/>
      <c r="I58" s="302"/>
      <c r="J58" s="302"/>
      <c r="K58" s="302"/>
      <c r="L58" s="302"/>
      <c r="M58" s="302"/>
      <c r="N58" s="302"/>
      <c r="O58" s="302"/>
    </row>
    <row r="59" spans="2:23" ht="16" x14ac:dyDescent="0.3">
      <c r="B59" s="302"/>
      <c r="C59" s="302"/>
      <c r="D59" s="302"/>
      <c r="E59" s="302"/>
      <c r="F59" s="302"/>
      <c r="G59" s="302"/>
      <c r="H59" s="302"/>
      <c r="I59" s="302"/>
      <c r="J59" s="302"/>
      <c r="K59" s="302"/>
      <c r="L59" s="302"/>
      <c r="M59" s="302"/>
      <c r="N59" s="302"/>
      <c r="O59" s="302"/>
      <c r="P59" s="1"/>
      <c r="Q59" s="1"/>
      <c r="R59" s="1"/>
    </row>
    <row r="60" spans="2:23" x14ac:dyDescent="0.3">
      <c r="B60" s="1"/>
      <c r="C60" s="1"/>
      <c r="D60" s="1"/>
      <c r="E60" s="1"/>
      <c r="F60" s="1"/>
      <c r="G60" s="1"/>
      <c r="H60" s="1"/>
      <c r="I60" s="1"/>
      <c r="J60" s="1"/>
      <c r="K60" s="1"/>
      <c r="L60" s="1"/>
      <c r="M60" s="1"/>
      <c r="N60" s="1"/>
      <c r="O60" s="1"/>
      <c r="P60" s="1"/>
      <c r="Q60" s="1"/>
      <c r="R60" s="1"/>
    </row>
    <row r="61" spans="2:23" x14ac:dyDescent="0.3">
      <c r="B61" s="293" t="s">
        <v>272</v>
      </c>
      <c r="C61" s="1"/>
      <c r="D61" s="1"/>
      <c r="E61" s="1"/>
      <c r="F61" s="1"/>
      <c r="G61" s="1"/>
      <c r="H61" s="1"/>
      <c r="I61" s="1"/>
      <c r="J61" s="1"/>
      <c r="K61" s="1"/>
      <c r="L61" s="1"/>
      <c r="M61" s="1"/>
      <c r="N61" s="1"/>
      <c r="O61" s="1"/>
      <c r="P61" s="1"/>
      <c r="Q61" s="1"/>
      <c r="R61" s="1"/>
    </row>
    <row r="62" spans="2:23" x14ac:dyDescent="0.3">
      <c r="B62" s="293"/>
      <c r="C62" s="1"/>
      <c r="D62" s="1"/>
      <c r="E62" s="1"/>
      <c r="F62" s="1"/>
      <c r="G62" s="1"/>
      <c r="H62" s="1"/>
      <c r="I62" s="1"/>
      <c r="J62" s="1"/>
      <c r="K62" s="1"/>
      <c r="L62" s="1"/>
      <c r="M62" s="1"/>
      <c r="N62" s="1"/>
      <c r="O62" s="1"/>
      <c r="P62" s="1"/>
      <c r="Q62" s="1"/>
      <c r="R62" s="1"/>
    </row>
    <row r="63" spans="2:23" ht="15" customHeight="1" x14ac:dyDescent="0.3">
      <c r="B63" s="1"/>
      <c r="C63" s="1"/>
      <c r="D63" s="8"/>
      <c r="E63" s="8"/>
      <c r="F63" s="8"/>
      <c r="G63" s="8"/>
      <c r="H63" s="8"/>
      <c r="I63" s="1"/>
      <c r="J63" s="42"/>
      <c r="K63" s="1"/>
      <c r="L63" s="1"/>
      <c r="M63" s="42"/>
      <c r="N63" s="42"/>
      <c r="O63" s="1"/>
      <c r="P63" s="1"/>
      <c r="Q63" s="1"/>
      <c r="R63" s="297" t="s">
        <v>10</v>
      </c>
    </row>
    <row r="64" spans="2:23" x14ac:dyDescent="0.3">
      <c r="B64" s="1521" t="s">
        <v>343</v>
      </c>
      <c r="C64" s="1521" t="s">
        <v>37</v>
      </c>
      <c r="D64" s="1649" t="s">
        <v>519</v>
      </c>
      <c r="E64" s="1650"/>
      <c r="F64" s="1650"/>
      <c r="G64" s="1650"/>
      <c r="H64" s="1651"/>
      <c r="I64" s="1652" t="s">
        <v>520</v>
      </c>
      <c r="J64" s="1652"/>
      <c r="K64" s="1652"/>
      <c r="L64" s="1652"/>
      <c r="M64" s="1652"/>
      <c r="N64" s="1521" t="s">
        <v>521</v>
      </c>
      <c r="O64" s="1521"/>
      <c r="P64" s="1521"/>
      <c r="Q64" s="1521"/>
      <c r="R64" s="1521"/>
      <c r="S64" s="1648" t="s">
        <v>940</v>
      </c>
      <c r="T64" s="1648"/>
      <c r="U64" s="1648"/>
      <c r="V64" s="1648"/>
      <c r="W64" s="1648"/>
    </row>
    <row r="65" spans="1:25" x14ac:dyDescent="0.3">
      <c r="B65" s="1521"/>
      <c r="C65" s="1521"/>
      <c r="D65" s="1654" t="s">
        <v>7</v>
      </c>
      <c r="E65" s="1655"/>
      <c r="F65" s="1655"/>
      <c r="G65" s="1655"/>
      <c r="H65" s="1655"/>
      <c r="I65" s="1654" t="s">
        <v>7</v>
      </c>
      <c r="J65" s="1655"/>
      <c r="K65" s="1655"/>
      <c r="L65" s="1655"/>
      <c r="M65" s="1655"/>
      <c r="N65" s="1654" t="s">
        <v>12</v>
      </c>
      <c r="O65" s="1655"/>
      <c r="P65" s="1655"/>
      <c r="Q65" s="1655"/>
      <c r="R65" s="1655"/>
      <c r="S65" s="1654" t="s">
        <v>21</v>
      </c>
      <c r="T65" s="1655"/>
      <c r="U65" s="1655"/>
      <c r="V65" s="1655"/>
      <c r="W65" s="1655"/>
    </row>
    <row r="66" spans="1:25" ht="56" x14ac:dyDescent="0.3">
      <c r="B66" s="1521"/>
      <c r="C66" s="1521"/>
      <c r="D66" s="301" t="s">
        <v>273</v>
      </c>
      <c r="E66" s="301" t="s">
        <v>268</v>
      </c>
      <c r="F66" s="303" t="s">
        <v>274</v>
      </c>
      <c r="G66" s="292" t="s">
        <v>601</v>
      </c>
      <c r="H66" s="301" t="s">
        <v>275</v>
      </c>
      <c r="I66" s="301" t="s">
        <v>273</v>
      </c>
      <c r="J66" s="301" t="s">
        <v>268</v>
      </c>
      <c r="K66" s="303" t="s">
        <v>274</v>
      </c>
      <c r="L66" s="292" t="s">
        <v>601</v>
      </c>
      <c r="M66" s="301" t="s">
        <v>275</v>
      </c>
      <c r="N66" s="301" t="s">
        <v>273</v>
      </c>
      <c r="O66" s="301" t="s">
        <v>268</v>
      </c>
      <c r="P66" s="303" t="s">
        <v>274</v>
      </c>
      <c r="Q66" s="292" t="s">
        <v>601</v>
      </c>
      <c r="R66" s="301" t="s">
        <v>275</v>
      </c>
      <c r="S66" s="301" t="s">
        <v>273</v>
      </c>
      <c r="T66" s="301" t="s">
        <v>268</v>
      </c>
      <c r="U66" s="303" t="s">
        <v>274</v>
      </c>
      <c r="V66" s="292" t="s">
        <v>601</v>
      </c>
      <c r="W66" s="301" t="s">
        <v>275</v>
      </c>
      <c r="Y66" s="5" t="s">
        <v>990</v>
      </c>
    </row>
    <row r="67" spans="1:25" x14ac:dyDescent="0.3">
      <c r="B67" s="298"/>
      <c r="C67" s="298"/>
      <c r="D67" s="298" t="s">
        <v>81</v>
      </c>
      <c r="E67" s="298" t="s">
        <v>82</v>
      </c>
      <c r="F67" s="298" t="s">
        <v>472</v>
      </c>
      <c r="G67" s="298" t="s">
        <v>397</v>
      </c>
      <c r="H67" s="298" t="s">
        <v>602</v>
      </c>
      <c r="I67" s="298" t="s">
        <v>414</v>
      </c>
      <c r="J67" s="298" t="s">
        <v>522</v>
      </c>
      <c r="K67" s="298" t="s">
        <v>415</v>
      </c>
      <c r="L67" s="298" t="s">
        <v>416</v>
      </c>
      <c r="M67" s="298" t="s">
        <v>669</v>
      </c>
      <c r="N67" s="298" t="s">
        <v>603</v>
      </c>
      <c r="O67" s="298" t="s">
        <v>670</v>
      </c>
      <c r="P67" s="298" t="s">
        <v>604</v>
      </c>
      <c r="Q67" s="298" t="s">
        <v>605</v>
      </c>
      <c r="R67" s="298" t="s">
        <v>671</v>
      </c>
      <c r="S67" s="298" t="s">
        <v>609</v>
      </c>
      <c r="T67" s="298" t="s">
        <v>610</v>
      </c>
      <c r="U67" s="298" t="s">
        <v>611</v>
      </c>
      <c r="V67" s="298" t="s">
        <v>673</v>
      </c>
      <c r="W67" s="298" t="s">
        <v>674</v>
      </c>
    </row>
    <row r="68" spans="1:25" x14ac:dyDescent="0.3">
      <c r="A68" s="560">
        <f t="shared" ref="A68:A84" si="19">Y68</f>
        <v>0</v>
      </c>
      <c r="B68" s="96">
        <v>1</v>
      </c>
      <c r="C68" s="299" t="s">
        <v>860</v>
      </c>
      <c r="D68" s="481">
        <v>0</v>
      </c>
      <c r="E68" s="481">
        <f t="shared" ref="E68:E84" si="20">IF((IFERROR(D68/((D14+E14)*90%),0))&lt;70%,MIN((MAX((D14+E14)*90%-D68,0)),(D14+E14/2)*$Y68),MAX((E14+D14)*90%-D68,0)/E$86)</f>
        <v>0</v>
      </c>
      <c r="F68" s="481">
        <f>IFERROR(IF(D68=0,0,D68/D14*F14),0)</f>
        <v>0</v>
      </c>
      <c r="G68" s="482"/>
      <c r="H68" s="481">
        <f>D68+E68-F68-G68</f>
        <v>0</v>
      </c>
      <c r="I68" s="483">
        <f>H68</f>
        <v>0</v>
      </c>
      <c r="J68" s="481">
        <f t="shared" ref="J68:J80" si="21">IF((IFERROR(I68/((I14+J14)*90%),0))&lt;70%,MIN((MAX((I14+J14)*90%-I68,0)),(I14+J14/2)*$A68),MAX((J14+I14)*90%-I68,0)/J$86)</f>
        <v>0</v>
      </c>
      <c r="K68" s="481">
        <f t="shared" ref="K68:K82" si="22">IF(I68=0,0,I68/I14*K14)</f>
        <v>0</v>
      </c>
      <c r="L68" s="482"/>
      <c r="M68" s="483">
        <f t="shared" ref="M68:M79" si="23">I68+J68-K68-L68</f>
        <v>0</v>
      </c>
      <c r="N68" s="483">
        <f>M68</f>
        <v>0</v>
      </c>
      <c r="O68" s="481">
        <f>IF((IFERROR(N68/((N14+O14)*90%),0))&lt;70%,MIN((MAX((N14+O14)*90%-N68,0)),(N14+O14/2)*$A68),MAX((O14+N14)*90%-N68,0)/O$86)</f>
        <v>0</v>
      </c>
      <c r="P68" s="481">
        <f t="shared" ref="P68:P83" si="24">IF(N68=0,0,N68/N14*P14)</f>
        <v>0</v>
      </c>
      <c r="Q68" s="482"/>
      <c r="R68" s="483">
        <f>N68+O68-P68-Q68</f>
        <v>0</v>
      </c>
      <c r="S68" s="481">
        <f t="shared" ref="S68:S84" si="25">R68</f>
        <v>0</v>
      </c>
      <c r="T68" s="481">
        <f>IF((IFERROR(S68/((S14+T14)*90%),0))&lt;70%,MIN((MAX((S14+T14)*90%-S68,0)),(S14+T14/2)*$A95),MAX((T14+S14)*90%-S68,0)/T$86)</f>
        <v>0</v>
      </c>
      <c r="U68" s="481">
        <f t="shared" ref="U68:U83" si="26">IF(S68=0,0,S68/S14*U14)</f>
        <v>0</v>
      </c>
      <c r="V68" s="482"/>
      <c r="W68" s="481">
        <f>S68+T68-U68-V68</f>
        <v>0</v>
      </c>
      <c r="Y68" s="586">
        <v>0</v>
      </c>
    </row>
    <row r="69" spans="1:25" x14ac:dyDescent="0.3">
      <c r="A69" s="560">
        <f t="shared" si="19"/>
        <v>3.3399999999999999E-2</v>
      </c>
      <c r="B69" s="96">
        <f>B68+1</f>
        <v>2</v>
      </c>
      <c r="C69" s="299" t="s">
        <v>255</v>
      </c>
      <c r="D69" s="481">
        <v>6.1229759484397501</v>
      </c>
      <c r="E69" s="481">
        <f t="shared" si="20"/>
        <v>0.33760200515769584</v>
      </c>
      <c r="F69" s="481">
        <f t="shared" ref="F69:F84" si="27">IFERROR(IF(D69=0,0,D69/D15*F15),0)</f>
        <v>1.2003000406247939</v>
      </c>
      <c r="G69" s="482"/>
      <c r="H69" s="481">
        <f t="shared" ref="H69:H79" si="28">D69+E69-F69-G69</f>
        <v>5.2602779129726525</v>
      </c>
      <c r="I69" s="483">
        <f t="shared" ref="I69:I79" si="29">H69</f>
        <v>5.2602779129726525</v>
      </c>
      <c r="J69" s="481">
        <f>IF((IFERROR(I69/((I15+J15)*90%),0))&lt;70%,MIN((MAX((I15+J15)*90%-I69,0)),(I15+J15/2)*$A69),MAX((J15+I15)*90%-I69,0)/J$86)</f>
        <v>0.32044373735149584</v>
      </c>
      <c r="K69" s="481">
        <f t="shared" si="22"/>
        <v>0.278906060022441</v>
      </c>
      <c r="L69" s="482"/>
      <c r="M69" s="483">
        <f t="shared" si="23"/>
        <v>5.3018155903017066</v>
      </c>
      <c r="N69" s="483">
        <f t="shared" ref="N69:N79" si="30">M69</f>
        <v>5.3018155903017066</v>
      </c>
      <c r="O69" s="481">
        <f t="shared" ref="O69:O84" si="31">IF((IFERROR(N69/((N15+O15)*90%),0))&lt;70%,MIN((MAX((N15+O15)*90%-N69,0)),(N15+O15/2)*$A69),MAX((O15+N15)*90%-N69,0)/O$86)</f>
        <v>0.3519196524960958</v>
      </c>
      <c r="P69" s="481">
        <f t="shared" si="24"/>
        <v>0</v>
      </c>
      <c r="Q69" s="482"/>
      <c r="R69" s="483">
        <f t="shared" ref="R69:R79" si="32">N69+O69-P69-Q69</f>
        <v>5.6537352427978025</v>
      </c>
      <c r="S69" s="481">
        <f t="shared" si="25"/>
        <v>5.6537352427978025</v>
      </c>
      <c r="T69" s="481">
        <f t="shared" ref="T69:T84" si="33">IF((IFERROR(S69/((S15+T15)*90%),0))&lt;70%,MIN((MAX((S15+T15)*90%-S69,0)),(S15+T15/2)*$A96),MAX((T15+S15)*90%-S69,0)/T$86)</f>
        <v>0.3519196524960958</v>
      </c>
      <c r="U69" s="481">
        <f t="shared" si="26"/>
        <v>0</v>
      </c>
      <c r="V69" s="482"/>
      <c r="W69" s="481">
        <f t="shared" ref="W69:W79" si="34">S69+T69-U69-V69</f>
        <v>6.0056548952938984</v>
      </c>
      <c r="Y69" s="586">
        <v>3.3399999999999999E-2</v>
      </c>
    </row>
    <row r="70" spans="1:25" ht="28" x14ac:dyDescent="0.3">
      <c r="A70" s="560">
        <f t="shared" si="19"/>
        <v>5.28E-2</v>
      </c>
      <c r="B70" s="96">
        <f t="shared" ref="B70:B84" si="35">B69+1</f>
        <v>3</v>
      </c>
      <c r="C70" s="300" t="s">
        <v>861</v>
      </c>
      <c r="D70" s="481">
        <v>0</v>
      </c>
      <c r="E70" s="481">
        <f t="shared" si="20"/>
        <v>0</v>
      </c>
      <c r="F70" s="481">
        <f t="shared" si="27"/>
        <v>0</v>
      </c>
      <c r="G70" s="482"/>
      <c r="H70" s="481">
        <f t="shared" si="28"/>
        <v>0</v>
      </c>
      <c r="I70" s="483">
        <f t="shared" si="29"/>
        <v>0</v>
      </c>
      <c r="J70" s="481">
        <f t="shared" si="21"/>
        <v>0</v>
      </c>
      <c r="K70" s="481">
        <f t="shared" si="22"/>
        <v>0</v>
      </c>
      <c r="L70" s="482"/>
      <c r="M70" s="483">
        <f t="shared" si="23"/>
        <v>0</v>
      </c>
      <c r="N70" s="483">
        <f t="shared" si="30"/>
        <v>0</v>
      </c>
      <c r="O70" s="481">
        <f t="shared" si="31"/>
        <v>0</v>
      </c>
      <c r="P70" s="481">
        <f t="shared" si="24"/>
        <v>0</v>
      </c>
      <c r="Q70" s="482"/>
      <c r="R70" s="483">
        <f t="shared" si="32"/>
        <v>0</v>
      </c>
      <c r="S70" s="481">
        <f t="shared" si="25"/>
        <v>0</v>
      </c>
      <c r="T70" s="481">
        <f t="shared" si="33"/>
        <v>0</v>
      </c>
      <c r="U70" s="481">
        <f t="shared" si="26"/>
        <v>0</v>
      </c>
      <c r="V70" s="482"/>
      <c r="W70" s="481">
        <f t="shared" si="34"/>
        <v>0</v>
      </c>
      <c r="Y70" s="586">
        <v>5.28E-2</v>
      </c>
    </row>
    <row r="71" spans="1:25" x14ac:dyDescent="0.3">
      <c r="A71" s="560">
        <f t="shared" si="19"/>
        <v>5.28E-2</v>
      </c>
      <c r="B71" s="96">
        <f t="shared" si="35"/>
        <v>4</v>
      </c>
      <c r="C71" s="300" t="s">
        <v>862</v>
      </c>
      <c r="D71" s="481">
        <v>0.82492958489910284</v>
      </c>
      <c r="E71" s="481">
        <f t="shared" si="20"/>
        <v>2.0955968180959062E-2</v>
      </c>
      <c r="F71" s="481">
        <f t="shared" si="27"/>
        <v>0</v>
      </c>
      <c r="G71" s="482"/>
      <c r="H71" s="481">
        <f t="shared" si="28"/>
        <v>0.84588555308006186</v>
      </c>
      <c r="I71" s="483">
        <f t="shared" si="29"/>
        <v>0.84588555308006186</v>
      </c>
      <c r="J71" s="481">
        <f t="shared" si="21"/>
        <v>1.1934338960548027E-2</v>
      </c>
      <c r="K71" s="481">
        <f t="shared" si="22"/>
        <v>0</v>
      </c>
      <c r="L71" s="482"/>
      <c r="M71" s="483">
        <f t="shared" si="23"/>
        <v>0.85781989204060993</v>
      </c>
      <c r="N71" s="483">
        <f t="shared" si="30"/>
        <v>0.85781989204060993</v>
      </c>
      <c r="O71" s="481">
        <f t="shared" si="31"/>
        <v>1.1934338960548019E-2</v>
      </c>
      <c r="P71" s="481">
        <f t="shared" si="24"/>
        <v>0</v>
      </c>
      <c r="Q71" s="482"/>
      <c r="R71" s="483">
        <f t="shared" si="32"/>
        <v>0.8697542310011579</v>
      </c>
      <c r="S71" s="481">
        <f t="shared" si="25"/>
        <v>0.8697542310011579</v>
      </c>
      <c r="T71" s="481">
        <f t="shared" si="33"/>
        <v>1.1934338960548029E-2</v>
      </c>
      <c r="U71" s="481">
        <f t="shared" si="26"/>
        <v>0</v>
      </c>
      <c r="V71" s="482"/>
      <c r="W71" s="481">
        <f t="shared" si="34"/>
        <v>0.88168856996170597</v>
      </c>
      <c r="Y71" s="586">
        <v>5.28E-2</v>
      </c>
    </row>
    <row r="72" spans="1:25" x14ac:dyDescent="0.3">
      <c r="A72" s="560">
        <f t="shared" si="19"/>
        <v>3.3399999999999999E-2</v>
      </c>
      <c r="B72" s="96">
        <f t="shared" si="35"/>
        <v>5</v>
      </c>
      <c r="C72" s="300" t="s">
        <v>863</v>
      </c>
      <c r="D72" s="481">
        <v>1.6783500363013915</v>
      </c>
      <c r="E72" s="481">
        <f t="shared" si="20"/>
        <v>0.37790864068415531</v>
      </c>
      <c r="F72" s="481">
        <f t="shared" si="27"/>
        <v>0.32532259709144284</v>
      </c>
      <c r="G72" s="482"/>
      <c r="H72" s="481">
        <f t="shared" si="28"/>
        <v>1.730936079894104</v>
      </c>
      <c r="I72" s="483">
        <f t="shared" si="29"/>
        <v>1.730936079894104</v>
      </c>
      <c r="J72" s="481">
        <f t="shared" si="21"/>
        <v>0.39116248042075524</v>
      </c>
      <c r="K72" s="481">
        <f t="shared" si="22"/>
        <v>1.779074610047366E-2</v>
      </c>
      <c r="L72" s="482"/>
      <c r="M72" s="483">
        <f t="shared" si="23"/>
        <v>2.1043078142143856</v>
      </c>
      <c r="N72" s="483">
        <f t="shared" si="30"/>
        <v>2.1043078142143856</v>
      </c>
      <c r="O72" s="481">
        <f t="shared" si="31"/>
        <v>0.39160124286075526</v>
      </c>
      <c r="P72" s="481">
        <f t="shared" si="24"/>
        <v>0</v>
      </c>
      <c r="Q72" s="482"/>
      <c r="R72" s="483">
        <f t="shared" si="32"/>
        <v>2.4959090570751408</v>
      </c>
      <c r="S72" s="481">
        <f t="shared" si="25"/>
        <v>2.4959090570751408</v>
      </c>
      <c r="T72" s="481">
        <f t="shared" si="33"/>
        <v>0.39160124286075526</v>
      </c>
      <c r="U72" s="481">
        <f t="shared" si="26"/>
        <v>0</v>
      </c>
      <c r="V72" s="482"/>
      <c r="W72" s="481">
        <f t="shared" si="34"/>
        <v>2.8875102999358959</v>
      </c>
      <c r="Y72" s="586">
        <v>3.3399999999999999E-2</v>
      </c>
    </row>
    <row r="73" spans="1:25" x14ac:dyDescent="0.3">
      <c r="A73" s="560">
        <f t="shared" si="19"/>
        <v>5.28E-2</v>
      </c>
      <c r="B73" s="96">
        <f t="shared" si="35"/>
        <v>6</v>
      </c>
      <c r="C73" s="299" t="s">
        <v>254</v>
      </c>
      <c r="D73" s="481">
        <v>6.4084459262377749</v>
      </c>
      <c r="E73" s="481">
        <f t="shared" si="20"/>
        <v>0.55280786938375959</v>
      </c>
      <c r="F73" s="481">
        <f t="shared" si="27"/>
        <v>0</v>
      </c>
      <c r="G73" s="482"/>
      <c r="H73" s="481">
        <f t="shared" si="28"/>
        <v>6.9612537956215341</v>
      </c>
      <c r="I73" s="483">
        <f t="shared" si="29"/>
        <v>6.9612537956215341</v>
      </c>
      <c r="J73" s="481">
        <f t="shared" si="21"/>
        <v>0.77464454332615962</v>
      </c>
      <c r="K73" s="481">
        <f t="shared" si="22"/>
        <v>0</v>
      </c>
      <c r="L73" s="482"/>
      <c r="M73" s="483">
        <f t="shared" si="23"/>
        <v>7.7358983389476936</v>
      </c>
      <c r="N73" s="483">
        <f t="shared" si="30"/>
        <v>7.7358983389476936</v>
      </c>
      <c r="O73" s="481">
        <f t="shared" si="31"/>
        <v>2.1357077853965598</v>
      </c>
      <c r="P73" s="481">
        <f t="shared" si="24"/>
        <v>0</v>
      </c>
      <c r="Q73" s="482"/>
      <c r="R73" s="483">
        <f t="shared" si="32"/>
        <v>9.8716061243442539</v>
      </c>
      <c r="S73" s="481">
        <f t="shared" si="25"/>
        <v>9.8716061243442539</v>
      </c>
      <c r="T73" s="481">
        <f t="shared" si="33"/>
        <v>3.4046297693965601</v>
      </c>
      <c r="U73" s="481">
        <f t="shared" si="26"/>
        <v>0</v>
      </c>
      <c r="V73" s="482"/>
      <c r="W73" s="481">
        <f t="shared" si="34"/>
        <v>13.276235893740814</v>
      </c>
      <c r="Y73" s="586">
        <v>5.28E-2</v>
      </c>
    </row>
    <row r="74" spans="1:25" x14ac:dyDescent="0.3">
      <c r="A74" s="560">
        <f t="shared" si="19"/>
        <v>0.18</v>
      </c>
      <c r="B74" s="96">
        <f t="shared" si="35"/>
        <v>7</v>
      </c>
      <c r="C74" s="299" t="s">
        <v>864</v>
      </c>
      <c r="D74" s="481">
        <v>0.29377141054929945</v>
      </c>
      <c r="E74" s="481">
        <f t="shared" si="20"/>
        <v>0.10816580351643314</v>
      </c>
      <c r="F74" s="481">
        <f t="shared" si="27"/>
        <v>0</v>
      </c>
      <c r="G74" s="482"/>
      <c r="H74" s="481">
        <f t="shared" si="28"/>
        <v>0.40193721406573257</v>
      </c>
      <c r="I74" s="483">
        <f t="shared" si="29"/>
        <v>0.40193721406573257</v>
      </c>
      <c r="J74" s="481">
        <f t="shared" si="21"/>
        <v>0.17120037791643314</v>
      </c>
      <c r="K74" s="481">
        <f t="shared" si="22"/>
        <v>2.8305234915465854E-2</v>
      </c>
      <c r="L74" s="482"/>
      <c r="M74" s="483">
        <f t="shared" si="23"/>
        <v>0.54483235706669986</v>
      </c>
      <c r="N74" s="483">
        <f t="shared" si="30"/>
        <v>0.54483235706669986</v>
      </c>
      <c r="O74" s="481">
        <f t="shared" si="31"/>
        <v>0.21565443431643314</v>
      </c>
      <c r="P74" s="481">
        <f t="shared" si="24"/>
        <v>0</v>
      </c>
      <c r="Q74" s="482"/>
      <c r="R74" s="483">
        <f t="shared" si="32"/>
        <v>0.76048679138313302</v>
      </c>
      <c r="S74" s="481">
        <f t="shared" si="25"/>
        <v>0.76048679138313302</v>
      </c>
      <c r="T74" s="481">
        <f t="shared" si="33"/>
        <v>6.3557076039806537E-2</v>
      </c>
      <c r="U74" s="481">
        <f t="shared" si="26"/>
        <v>0</v>
      </c>
      <c r="V74" s="482"/>
      <c r="W74" s="481">
        <f t="shared" si="34"/>
        <v>0.82404386742293956</v>
      </c>
      <c r="Y74" s="586">
        <v>0.18</v>
      </c>
    </row>
    <row r="75" spans="1:25" x14ac:dyDescent="0.3">
      <c r="A75" s="560">
        <f t="shared" si="19"/>
        <v>5.28E-2</v>
      </c>
      <c r="B75" s="96">
        <f t="shared" si="35"/>
        <v>8</v>
      </c>
      <c r="C75" s="299" t="s">
        <v>865</v>
      </c>
      <c r="D75" s="481">
        <v>0</v>
      </c>
      <c r="E75" s="481">
        <f t="shared" si="20"/>
        <v>0</v>
      </c>
      <c r="F75" s="481">
        <f t="shared" si="27"/>
        <v>0</v>
      </c>
      <c r="G75" s="482"/>
      <c r="H75" s="481">
        <f t="shared" si="28"/>
        <v>0</v>
      </c>
      <c r="I75" s="483">
        <f t="shared" si="29"/>
        <v>0</v>
      </c>
      <c r="J75" s="481">
        <f t="shared" si="21"/>
        <v>0</v>
      </c>
      <c r="K75" s="481">
        <f t="shared" si="22"/>
        <v>0</v>
      </c>
      <c r="L75" s="482"/>
      <c r="M75" s="483">
        <f t="shared" si="23"/>
        <v>0</v>
      </c>
      <c r="N75" s="483">
        <f t="shared" si="30"/>
        <v>0</v>
      </c>
      <c r="O75" s="481">
        <f t="shared" si="31"/>
        <v>0</v>
      </c>
      <c r="P75" s="481">
        <f t="shared" si="24"/>
        <v>0</v>
      </c>
      <c r="Q75" s="482"/>
      <c r="R75" s="483">
        <f t="shared" si="32"/>
        <v>0</v>
      </c>
      <c r="S75" s="481">
        <f t="shared" si="25"/>
        <v>0</v>
      </c>
      <c r="T75" s="481">
        <f t="shared" si="33"/>
        <v>0</v>
      </c>
      <c r="U75" s="481">
        <f t="shared" si="26"/>
        <v>0</v>
      </c>
      <c r="V75" s="482"/>
      <c r="W75" s="481">
        <f t="shared" si="34"/>
        <v>0</v>
      </c>
      <c r="Y75" s="586">
        <v>5.28E-2</v>
      </c>
    </row>
    <row r="76" spans="1:25" x14ac:dyDescent="0.3">
      <c r="A76" s="560">
        <f t="shared" si="19"/>
        <v>5.28E-2</v>
      </c>
      <c r="B76" s="96">
        <f t="shared" si="35"/>
        <v>9</v>
      </c>
      <c r="C76" s="299" t="s">
        <v>866</v>
      </c>
      <c r="D76" s="481">
        <v>2.0910067341116303</v>
      </c>
      <c r="E76" s="481">
        <f t="shared" si="20"/>
        <v>2.7484987195102662E-2</v>
      </c>
      <c r="F76" s="481">
        <f t="shared" si="27"/>
        <v>0</v>
      </c>
      <c r="G76" s="482"/>
      <c r="H76" s="481">
        <f t="shared" si="28"/>
        <v>2.1184917213067331</v>
      </c>
      <c r="I76" s="483">
        <f t="shared" si="29"/>
        <v>2.1184917213067331</v>
      </c>
      <c r="J76" s="481">
        <f t="shared" si="21"/>
        <v>1.5705706968630068E-2</v>
      </c>
      <c r="K76" s="481">
        <f t="shared" si="22"/>
        <v>0</v>
      </c>
      <c r="L76" s="482"/>
      <c r="M76" s="483">
        <f t="shared" si="23"/>
        <v>2.1341974282753631</v>
      </c>
      <c r="N76" s="483">
        <f t="shared" si="30"/>
        <v>2.1341974282753631</v>
      </c>
      <c r="O76" s="481">
        <f t="shared" si="31"/>
        <v>1.5705706968630089E-2</v>
      </c>
      <c r="P76" s="481">
        <f t="shared" si="24"/>
        <v>0</v>
      </c>
      <c r="Q76" s="482"/>
      <c r="R76" s="483">
        <f t="shared" si="32"/>
        <v>2.149903135243993</v>
      </c>
      <c r="S76" s="481">
        <f t="shared" si="25"/>
        <v>2.149903135243993</v>
      </c>
      <c r="T76" s="481">
        <f t="shared" si="33"/>
        <v>1.5705706968630117E-2</v>
      </c>
      <c r="U76" s="481">
        <f t="shared" si="26"/>
        <v>0</v>
      </c>
      <c r="V76" s="482"/>
      <c r="W76" s="481">
        <f t="shared" si="34"/>
        <v>2.165608842212623</v>
      </c>
      <c r="Y76" s="586">
        <v>5.28E-2</v>
      </c>
    </row>
    <row r="77" spans="1:25" x14ac:dyDescent="0.3">
      <c r="A77" s="560">
        <f t="shared" si="19"/>
        <v>9.5000000000000001E-2</v>
      </c>
      <c r="B77" s="96">
        <f t="shared" si="35"/>
        <v>10</v>
      </c>
      <c r="C77" s="299" t="s">
        <v>258</v>
      </c>
      <c r="D77" s="481">
        <v>1.2301755279053566</v>
      </c>
      <c r="E77" s="481">
        <f t="shared" si="20"/>
        <v>1.9102489764270203E-2</v>
      </c>
      <c r="F77" s="481">
        <f t="shared" si="27"/>
        <v>0</v>
      </c>
      <c r="G77" s="482"/>
      <c r="H77" s="481">
        <f t="shared" si="28"/>
        <v>1.2492780176696268</v>
      </c>
      <c r="I77" s="483">
        <f t="shared" si="29"/>
        <v>1.2492780176696268</v>
      </c>
      <c r="J77" s="481">
        <f t="shared" si="21"/>
        <v>1.0915708436725831E-2</v>
      </c>
      <c r="K77" s="481">
        <f t="shared" si="22"/>
        <v>0</v>
      </c>
      <c r="L77" s="482"/>
      <c r="M77" s="483">
        <f t="shared" si="23"/>
        <v>1.2601937261063525</v>
      </c>
      <c r="N77" s="483">
        <f t="shared" si="30"/>
        <v>1.2601937261063525</v>
      </c>
      <c r="O77" s="481">
        <f t="shared" si="31"/>
        <v>1.0915708436725846E-2</v>
      </c>
      <c r="P77" s="481">
        <f t="shared" si="24"/>
        <v>0</v>
      </c>
      <c r="Q77" s="482"/>
      <c r="R77" s="483">
        <f t="shared" si="32"/>
        <v>1.2711094345430785</v>
      </c>
      <c r="S77" s="481">
        <f t="shared" si="25"/>
        <v>1.2711094345430785</v>
      </c>
      <c r="T77" s="481">
        <f t="shared" si="33"/>
        <v>1.0915708436725824E-2</v>
      </c>
      <c r="U77" s="481">
        <f t="shared" si="26"/>
        <v>0</v>
      </c>
      <c r="V77" s="482"/>
      <c r="W77" s="481">
        <f t="shared" si="34"/>
        <v>1.2820251429798042</v>
      </c>
      <c r="Y77" s="586">
        <v>9.5000000000000001E-2</v>
      </c>
    </row>
    <row r="78" spans="1:25" x14ac:dyDescent="0.3">
      <c r="A78" s="560">
        <f t="shared" si="19"/>
        <v>6.3299999999999995E-2</v>
      </c>
      <c r="B78" s="96">
        <f t="shared" si="35"/>
        <v>11</v>
      </c>
      <c r="C78" s="299" t="s">
        <v>259</v>
      </c>
      <c r="D78" s="481">
        <v>1.3460476286377856</v>
      </c>
      <c r="E78" s="481">
        <f t="shared" si="20"/>
        <v>0.18368003701012819</v>
      </c>
      <c r="F78" s="481">
        <f t="shared" si="27"/>
        <v>-4.8906682286409362E-4</v>
      </c>
      <c r="G78" s="482"/>
      <c r="H78" s="481">
        <f t="shared" si="28"/>
        <v>1.5302167324707778</v>
      </c>
      <c r="I78" s="483">
        <f t="shared" si="29"/>
        <v>1.5302167324707778</v>
      </c>
      <c r="J78" s="481">
        <f t="shared" si="21"/>
        <v>0.18751967654137822</v>
      </c>
      <c r="K78" s="481">
        <f t="shared" si="22"/>
        <v>0</v>
      </c>
      <c r="L78" s="482"/>
      <c r="M78" s="483">
        <f t="shared" si="23"/>
        <v>1.7177364090121561</v>
      </c>
      <c r="N78" s="483">
        <f t="shared" si="30"/>
        <v>1.7177364090121561</v>
      </c>
      <c r="O78" s="481">
        <f t="shared" si="31"/>
        <v>0.19087068476242822</v>
      </c>
      <c r="P78" s="481">
        <f t="shared" si="24"/>
        <v>0</v>
      </c>
      <c r="Q78" s="482"/>
      <c r="R78" s="483">
        <f t="shared" si="32"/>
        <v>1.9086070937745843</v>
      </c>
      <c r="S78" s="481">
        <f t="shared" si="25"/>
        <v>1.9086070937745843</v>
      </c>
      <c r="T78" s="481">
        <f t="shared" si="33"/>
        <v>0.16218869827568469</v>
      </c>
      <c r="U78" s="481">
        <f t="shared" si="26"/>
        <v>0</v>
      </c>
      <c r="V78" s="482"/>
      <c r="W78" s="481">
        <f t="shared" si="34"/>
        <v>2.0707957920502689</v>
      </c>
      <c r="Y78" s="586">
        <v>6.3299999999999995E-2</v>
      </c>
    </row>
    <row r="79" spans="1:25" x14ac:dyDescent="0.3">
      <c r="A79" s="560">
        <f t="shared" si="19"/>
        <v>6.3299999999999995E-2</v>
      </c>
      <c r="B79" s="96">
        <f t="shared" si="35"/>
        <v>12</v>
      </c>
      <c r="C79" s="299" t="s">
        <v>260</v>
      </c>
      <c r="D79" s="481">
        <v>1.0840301951061084</v>
      </c>
      <c r="E79" s="481">
        <f t="shared" si="20"/>
        <v>0.15346952391313015</v>
      </c>
      <c r="F79" s="481">
        <f t="shared" si="27"/>
        <v>4.6893744480541548E-4</v>
      </c>
      <c r="G79" s="484"/>
      <c r="H79" s="481">
        <f t="shared" si="28"/>
        <v>1.237030781574433</v>
      </c>
      <c r="I79" s="483">
        <f t="shared" si="29"/>
        <v>1.237030781574433</v>
      </c>
      <c r="J79" s="481">
        <f t="shared" si="21"/>
        <v>0.15804215104828015</v>
      </c>
      <c r="K79" s="481">
        <f t="shared" si="22"/>
        <v>0</v>
      </c>
      <c r="L79" s="482"/>
      <c r="M79" s="483">
        <f t="shared" si="23"/>
        <v>1.3950729326227131</v>
      </c>
      <c r="N79" s="483">
        <f t="shared" si="30"/>
        <v>1.3950729326227131</v>
      </c>
      <c r="O79" s="481">
        <f t="shared" si="31"/>
        <v>0.16330654229533015</v>
      </c>
      <c r="P79" s="481">
        <f t="shared" si="24"/>
        <v>0</v>
      </c>
      <c r="Q79" s="482"/>
      <c r="R79" s="483">
        <f t="shared" si="32"/>
        <v>1.5583794749180433</v>
      </c>
      <c r="S79" s="481">
        <f t="shared" si="25"/>
        <v>1.5583794749180433</v>
      </c>
      <c r="T79" s="481">
        <f t="shared" si="33"/>
        <v>0.16382040853033014</v>
      </c>
      <c r="U79" s="481">
        <f t="shared" si="26"/>
        <v>0</v>
      </c>
      <c r="V79" s="482"/>
      <c r="W79" s="481">
        <f t="shared" si="34"/>
        <v>1.7221998834483734</v>
      </c>
      <c r="Y79" s="586">
        <v>6.3299999999999995E-2</v>
      </c>
    </row>
    <row r="80" spans="1:25" x14ac:dyDescent="0.3">
      <c r="A80" s="560">
        <f t="shared" si="19"/>
        <v>6.3299999999999995E-2</v>
      </c>
      <c r="B80" s="96">
        <f t="shared" si="35"/>
        <v>13</v>
      </c>
      <c r="C80" s="497" t="s">
        <v>874</v>
      </c>
      <c r="D80" s="481">
        <v>0</v>
      </c>
      <c r="E80" s="481">
        <f t="shared" si="20"/>
        <v>0</v>
      </c>
      <c r="F80" s="481">
        <f t="shared" si="27"/>
        <v>0</v>
      </c>
      <c r="G80" s="484"/>
      <c r="H80" s="481">
        <f t="shared" ref="H80:H84" si="36">D80+E80-F80-G80</f>
        <v>0</v>
      </c>
      <c r="I80" s="483">
        <f t="shared" ref="I80:I84" si="37">H80</f>
        <v>0</v>
      </c>
      <c r="J80" s="481">
        <f t="shared" si="21"/>
        <v>0</v>
      </c>
      <c r="K80" s="481">
        <f t="shared" si="22"/>
        <v>0</v>
      </c>
      <c r="L80" s="482"/>
      <c r="M80" s="483">
        <f t="shared" ref="M80:M84" si="38">I80+J80-K80-L80</f>
        <v>0</v>
      </c>
      <c r="N80" s="483">
        <f t="shared" ref="N80:N84" si="39">M80</f>
        <v>0</v>
      </c>
      <c r="O80" s="481">
        <f t="shared" si="31"/>
        <v>0</v>
      </c>
      <c r="P80" s="481">
        <f t="shared" si="24"/>
        <v>0</v>
      </c>
      <c r="Q80" s="482"/>
      <c r="R80" s="483">
        <f t="shared" ref="R80:R84" si="40">N80+O80-P80-Q80</f>
        <v>0</v>
      </c>
      <c r="S80" s="481">
        <f t="shared" si="25"/>
        <v>0</v>
      </c>
      <c r="T80" s="481">
        <f t="shared" si="33"/>
        <v>0</v>
      </c>
      <c r="U80" s="481">
        <f t="shared" si="26"/>
        <v>0</v>
      </c>
      <c r="V80" s="482"/>
      <c r="W80" s="481">
        <f t="shared" ref="W80:W84" si="41">S80+T80-U80-V80</f>
        <v>0</v>
      </c>
      <c r="Y80" s="586">
        <v>6.3299999999999995E-2</v>
      </c>
    </row>
    <row r="81" spans="1:33" x14ac:dyDescent="0.3">
      <c r="A81" s="560">
        <f t="shared" si="19"/>
        <v>0.15</v>
      </c>
      <c r="B81" s="96">
        <f t="shared" si="35"/>
        <v>14</v>
      </c>
      <c r="C81" s="497" t="s">
        <v>875</v>
      </c>
      <c r="D81" s="481">
        <v>0</v>
      </c>
      <c r="E81" s="481">
        <f>IF((IFERROR(D81/((D27+E27)*100%),0))&lt;70%,MIN((MAX((D27+E27)*100%-D81,0)),(D27+E27/2)*$Y81),MAX((E27+D27)*100%-D81,0)/E$86)</f>
        <v>0</v>
      </c>
      <c r="F81" s="481">
        <f t="shared" si="27"/>
        <v>0</v>
      </c>
      <c r="G81" s="484"/>
      <c r="H81" s="481">
        <f t="shared" si="36"/>
        <v>0</v>
      </c>
      <c r="I81" s="483">
        <f t="shared" si="37"/>
        <v>0</v>
      </c>
      <c r="J81" s="481">
        <f>IF((IFERROR(I81/((I27+J27)*100%),0))&lt;70%,MIN((MAX((I27+J27)*100%-I81,0)),(I27+J27/2)*$A81),MAX((J27+I27)*100%-I81,0)/J$86)</f>
        <v>0</v>
      </c>
      <c r="K81" s="481">
        <f t="shared" si="22"/>
        <v>0</v>
      </c>
      <c r="L81" s="482"/>
      <c r="M81" s="483">
        <f t="shared" si="38"/>
        <v>0</v>
      </c>
      <c r="N81" s="483">
        <f t="shared" si="39"/>
        <v>0</v>
      </c>
      <c r="O81" s="481">
        <f>IF((IFERROR(N81/((N27+O27)*100%),0))&lt;70%,MIN((MAX((N27+O27)*100%-N81,0)),(N27+O27/2)*$A81),MAX((O27+N27)*100%-N81,0)/O$86)</f>
        <v>0</v>
      </c>
      <c r="P81" s="481">
        <f t="shared" si="24"/>
        <v>0</v>
      </c>
      <c r="Q81" s="482"/>
      <c r="R81" s="483">
        <f t="shared" si="40"/>
        <v>0</v>
      </c>
      <c r="S81" s="481">
        <f t="shared" si="25"/>
        <v>0</v>
      </c>
      <c r="T81" s="481">
        <f>IF((IFERROR(S81/((S27+T27)*100%),0))&lt;70%,MIN((MAX((S27+T27)*100%-S81,0)),(S27+T27/2)*$A108),MAX((T27+S27)*100%-S81,0)/T$86)</f>
        <v>0</v>
      </c>
      <c r="U81" s="481">
        <f t="shared" si="26"/>
        <v>0</v>
      </c>
      <c r="V81" s="482"/>
      <c r="W81" s="481">
        <f t="shared" si="41"/>
        <v>0</v>
      </c>
      <c r="Y81" s="586">
        <v>0.15</v>
      </c>
    </row>
    <row r="82" spans="1:33" x14ac:dyDescent="0.3">
      <c r="A82" s="560">
        <f t="shared" si="19"/>
        <v>0.3</v>
      </c>
      <c r="B82" s="96">
        <f t="shared" si="35"/>
        <v>15</v>
      </c>
      <c r="C82" s="497" t="s">
        <v>876</v>
      </c>
      <c r="D82" s="481">
        <v>0</v>
      </c>
      <c r="E82" s="481">
        <f>IF((IFERROR(D82/((D28+E28)*100%),0))&lt;70%,MIN((MAX((D28+E28)*100%-D82,0)),(D28+E28/2)*$Y82),MAX((E28+D28)*100%-D82,0)/E$86)</f>
        <v>0</v>
      </c>
      <c r="F82" s="481">
        <f t="shared" si="27"/>
        <v>0</v>
      </c>
      <c r="G82" s="484"/>
      <c r="H82" s="481">
        <f t="shared" si="36"/>
        <v>0</v>
      </c>
      <c r="I82" s="483">
        <f t="shared" si="37"/>
        <v>0</v>
      </c>
      <c r="J82" s="481">
        <f>IF((IFERROR(I82/((I28+J28)*100%),0))&lt;70%,MIN((MAX((I28+J28)*100%-I82,0)),(I28+J28/2)*$A82),MAX((J28+I28)*100%-I82,0)/J$86)</f>
        <v>0</v>
      </c>
      <c r="K82" s="481">
        <f t="shared" si="22"/>
        <v>0</v>
      </c>
      <c r="L82" s="482"/>
      <c r="M82" s="483">
        <f t="shared" si="38"/>
        <v>0</v>
      </c>
      <c r="N82" s="483">
        <f t="shared" si="39"/>
        <v>0</v>
      </c>
      <c r="O82" s="481">
        <f>IF((IFERROR(N82/((N28+O28)*100%),0))&lt;70%,MIN((MAX((N28+O28)*100%-N82,0)),(N28+O28/2)*$A82),MAX((O28+N28)*100%-N82,0)/O$86)</f>
        <v>0</v>
      </c>
      <c r="P82" s="481">
        <f t="shared" si="24"/>
        <v>0</v>
      </c>
      <c r="Q82" s="482"/>
      <c r="R82" s="483">
        <f t="shared" si="40"/>
        <v>0</v>
      </c>
      <c r="S82" s="481">
        <f t="shared" si="25"/>
        <v>0</v>
      </c>
      <c r="T82" s="481">
        <f>IF((IFERROR(S82/((S28+T28)*100%),0))&lt;70%,MIN((MAX((S28+T28)*100%-S82,0)),(S28+T28/2)*$A109),MAX((T28+S28)*100%-S82,0)/T$86)</f>
        <v>0</v>
      </c>
      <c r="U82" s="481">
        <f t="shared" si="26"/>
        <v>0</v>
      </c>
      <c r="V82" s="482"/>
      <c r="W82" s="481">
        <f t="shared" si="41"/>
        <v>0</v>
      </c>
      <c r="Y82" s="586">
        <v>0.3</v>
      </c>
    </row>
    <row r="83" spans="1:33" x14ac:dyDescent="0.3">
      <c r="A83" s="560">
        <f t="shared" si="19"/>
        <v>0.3</v>
      </c>
      <c r="B83" s="96">
        <f t="shared" si="35"/>
        <v>16</v>
      </c>
      <c r="C83" s="497" t="s">
        <v>867</v>
      </c>
      <c r="D83" s="498">
        <v>1.2816173505160962</v>
      </c>
      <c r="E83" s="481">
        <f>IF((IFERROR(D83/((D29+E29)*100%),0))&lt;70%,MIN((MAX((D29+E29)*100%-D83,0)),(D29+E29/2)*$Y83),MAX((E29+D29)*100%-D83,0)/E$86)</f>
        <v>2.8480385567024369E-2</v>
      </c>
      <c r="F83" s="481">
        <f t="shared" si="27"/>
        <v>0</v>
      </c>
      <c r="G83" s="484"/>
      <c r="H83" s="481">
        <f t="shared" si="36"/>
        <v>1.3100977360831205</v>
      </c>
      <c r="I83" s="483">
        <f t="shared" si="37"/>
        <v>1.3100977360831205</v>
      </c>
      <c r="J83" s="481">
        <f>IF((IFERROR(I83/((I29+J29)*100%),0))&lt;70%,MIN((MAX((I29+J29)*100%-I83,0)),(I29+J29/2)*$A83),MAX((J29+I29)*100%-I83,0)/J$86)</f>
        <v>1.6274506038299639E-2</v>
      </c>
      <c r="K83" s="481">
        <f>IF(I83=0,0,I83/I29*K29)</f>
        <v>0</v>
      </c>
      <c r="L83" s="482"/>
      <c r="M83" s="483">
        <f t="shared" si="38"/>
        <v>1.3263722421214201</v>
      </c>
      <c r="N83" s="483">
        <f t="shared" si="39"/>
        <v>1.3263722421214201</v>
      </c>
      <c r="O83" s="481">
        <f>IF((IFERROR(N83/((N29+O29)*100%),0))&lt;70%,MIN((MAX((N29+O29)*100%-N83,0)),(N29+O29/2)*$A83),MAX((O29+N29)*100%-N83,0)/O$86)</f>
        <v>1.6274506038299646E-2</v>
      </c>
      <c r="P83" s="481">
        <f t="shared" si="24"/>
        <v>0</v>
      </c>
      <c r="Q83" s="482"/>
      <c r="R83" s="483">
        <f t="shared" si="40"/>
        <v>1.3426467481597197</v>
      </c>
      <c r="S83" s="481">
        <f t="shared" si="25"/>
        <v>1.3426467481597197</v>
      </c>
      <c r="T83" s="481">
        <f>IF((IFERROR(S83/((S29+T29)*100%),0))&lt;70%,MIN((MAX((S29+T29)*100%-S83,0)),(S29+T29/2)*$A110),MAX((T29+S29)*100%-S83,0)/T$86)</f>
        <v>1.6274506038299653E-2</v>
      </c>
      <c r="U83" s="481">
        <f t="shared" si="26"/>
        <v>0</v>
      </c>
      <c r="V83" s="482"/>
      <c r="W83" s="481">
        <f t="shared" si="41"/>
        <v>1.3589212541980193</v>
      </c>
      <c r="Y83" s="586">
        <v>0.3</v>
      </c>
    </row>
    <row r="84" spans="1:33" x14ac:dyDescent="0.3">
      <c r="A84" s="560">
        <f t="shared" si="19"/>
        <v>3.3399999999999999E-2</v>
      </c>
      <c r="B84" s="96">
        <f t="shared" si="35"/>
        <v>17</v>
      </c>
      <c r="C84" s="497" t="s">
        <v>877</v>
      </c>
      <c r="D84" s="481">
        <v>5.6340226071562869</v>
      </c>
      <c r="E84" s="481">
        <f t="shared" si="20"/>
        <v>0</v>
      </c>
      <c r="F84" s="481">
        <f t="shared" si="27"/>
        <v>0</v>
      </c>
      <c r="G84" s="484"/>
      <c r="H84" s="481">
        <f t="shared" si="36"/>
        <v>5.6340226071562869</v>
      </c>
      <c r="I84" s="483">
        <f t="shared" si="37"/>
        <v>5.6340226071562869</v>
      </c>
      <c r="J84" s="481">
        <f>IF((IFERROR(I84/((I30+J30)*90%),0))&lt;70%,MIN((MAX((I30+J30)*90%-I84,0)),(I30+J30/2)*$A84),MAX((J30+I30)*90%-I84,0)/J$86)</f>
        <v>0</v>
      </c>
      <c r="K84" s="481">
        <f>IFERROR(IF(I84=0,0,I84/I30*K30),0)</f>
        <v>0</v>
      </c>
      <c r="L84" s="482"/>
      <c r="M84" s="483">
        <f t="shared" si="38"/>
        <v>5.6340226071562869</v>
      </c>
      <c r="N84" s="483">
        <f t="shared" si="39"/>
        <v>5.6340226071562869</v>
      </c>
      <c r="O84" s="481">
        <f t="shared" si="31"/>
        <v>0</v>
      </c>
      <c r="P84" s="481">
        <f>IFERROR(IF(N84=0,0,N84/N30*P30),0)</f>
        <v>0</v>
      </c>
      <c r="Q84" s="482"/>
      <c r="R84" s="483">
        <f t="shared" si="40"/>
        <v>5.6340226071562869</v>
      </c>
      <c r="S84" s="481">
        <f t="shared" si="25"/>
        <v>5.6340226071562869</v>
      </c>
      <c r="T84" s="481">
        <f t="shared" si="33"/>
        <v>0</v>
      </c>
      <c r="U84" s="481">
        <f>IFERROR(IF(S84=0,0,S84/S30*U30),0)</f>
        <v>0</v>
      </c>
      <c r="V84" s="482"/>
      <c r="W84" s="481">
        <f t="shared" si="41"/>
        <v>5.6340226071562869</v>
      </c>
      <c r="Y84" s="586">
        <v>3.3399999999999999E-2</v>
      </c>
    </row>
    <row r="85" spans="1:33" ht="16" x14ac:dyDescent="0.3">
      <c r="A85" s="487"/>
      <c r="B85" s="84"/>
      <c r="C85" s="99" t="s">
        <v>271</v>
      </c>
      <c r="D85" s="485">
        <f>SUM(D68:D84)</f>
        <v>27.995372949860581</v>
      </c>
      <c r="E85" s="485">
        <f>SUM(E68:E84)</f>
        <v>1.8096577103726583</v>
      </c>
      <c r="F85" s="485">
        <f t="shared" ref="F85:R85" si="42">SUM(F68:F84)</f>
        <v>1.5256025083381781</v>
      </c>
      <c r="G85" s="485">
        <f t="shared" si="42"/>
        <v>0</v>
      </c>
      <c r="H85" s="485">
        <f t="shared" si="42"/>
        <v>28.279428151895065</v>
      </c>
      <c r="I85" s="485">
        <f t="shared" si="42"/>
        <v>28.279428151895065</v>
      </c>
      <c r="J85" s="485">
        <f t="shared" si="42"/>
        <v>2.0578432270087061</v>
      </c>
      <c r="K85" s="485">
        <f t="shared" si="42"/>
        <v>0.32500204103838048</v>
      </c>
      <c r="L85" s="485">
        <f t="shared" si="42"/>
        <v>0</v>
      </c>
      <c r="M85" s="485">
        <f t="shared" si="42"/>
        <v>30.012269337865387</v>
      </c>
      <c r="N85" s="485">
        <f t="shared" si="42"/>
        <v>30.012269337865387</v>
      </c>
      <c r="O85" s="485">
        <f t="shared" si="42"/>
        <v>3.5038906025318064</v>
      </c>
      <c r="P85" s="485">
        <f>SUM(P68:P84)</f>
        <v>0</v>
      </c>
      <c r="Q85" s="485">
        <f t="shared" si="42"/>
        <v>0</v>
      </c>
      <c r="R85" s="485">
        <f t="shared" si="42"/>
        <v>33.516159940397195</v>
      </c>
      <c r="S85" s="397">
        <f>SUM(S68:S84)</f>
        <v>33.516159940397195</v>
      </c>
      <c r="T85" s="397">
        <f>SUM(T68:T84)</f>
        <v>4.5925471080034361</v>
      </c>
      <c r="U85" s="397">
        <f>SUM(U68:U84)</f>
        <v>0</v>
      </c>
      <c r="V85" s="397">
        <f>SUM(V68:V84)</f>
        <v>0</v>
      </c>
      <c r="W85" s="397">
        <f>SUM(W68:W84)</f>
        <v>38.108707048400632</v>
      </c>
    </row>
    <row r="86" spans="1:33" ht="16" x14ac:dyDescent="0.3">
      <c r="A86" s="487"/>
      <c r="B86" s="302"/>
      <c r="C86" s="304" t="s">
        <v>871</v>
      </c>
      <c r="D86" s="304"/>
      <c r="E86" s="495">
        <v>5</v>
      </c>
      <c r="F86" s="304"/>
      <c r="G86" s="304"/>
      <c r="H86" s="304"/>
      <c r="I86" s="302"/>
      <c r="J86" s="99">
        <v>7</v>
      </c>
      <c r="K86" s="302"/>
      <c r="L86" s="302"/>
      <c r="M86" s="302"/>
      <c r="N86" s="302"/>
      <c r="O86" s="99">
        <f>J86-1</f>
        <v>6</v>
      </c>
      <c r="P86" s="302"/>
      <c r="Q86" s="302"/>
      <c r="R86" s="302"/>
      <c r="S86" s="43"/>
      <c r="T86" s="99">
        <f>O86-1</f>
        <v>5</v>
      </c>
      <c r="U86" s="43"/>
      <c r="V86" s="43"/>
      <c r="W86" s="43"/>
      <c r="X86" s="43"/>
      <c r="Y86" s="43"/>
      <c r="Z86" s="43"/>
      <c r="AA86" s="43"/>
      <c r="AB86" s="43"/>
      <c r="AC86" s="43"/>
      <c r="AD86" s="43"/>
      <c r="AE86" s="43"/>
      <c r="AF86" s="43"/>
      <c r="AG86" s="43"/>
    </row>
    <row r="87" spans="1:33" ht="16" x14ac:dyDescent="0.3">
      <c r="A87" s="487"/>
      <c r="B87" s="605" t="s">
        <v>613</v>
      </c>
      <c r="C87" s="606"/>
      <c r="D87" s="305"/>
      <c r="E87" s="305"/>
      <c r="F87" s="305"/>
      <c r="G87" s="305"/>
      <c r="H87" s="305"/>
      <c r="I87" s="306"/>
      <c r="J87" s="306"/>
      <c r="K87" s="302"/>
      <c r="L87" s="302"/>
      <c r="M87" s="302"/>
      <c r="N87" s="302"/>
      <c r="O87" s="302"/>
      <c r="P87" s="302"/>
      <c r="Q87" s="302"/>
      <c r="R87" s="302"/>
      <c r="S87" s="43"/>
      <c r="T87" s="43"/>
      <c r="U87" s="43"/>
      <c r="V87" s="43"/>
      <c r="W87" s="43"/>
      <c r="X87" s="43"/>
      <c r="Y87" s="43"/>
      <c r="Z87" s="43"/>
      <c r="AA87" s="43"/>
      <c r="AB87" s="43"/>
      <c r="AC87" s="43"/>
      <c r="AD87" s="43"/>
      <c r="AE87" s="43"/>
      <c r="AF87" s="43"/>
      <c r="AG87" s="43"/>
    </row>
    <row r="88" spans="1:33" ht="16" x14ac:dyDescent="0.3">
      <c r="A88" s="487"/>
      <c r="B88" s="605" t="s">
        <v>739</v>
      </c>
      <c r="C88" s="606"/>
      <c r="D88" s="305"/>
      <c r="E88" s="305"/>
      <c r="F88" s="305"/>
      <c r="G88" s="305"/>
      <c r="H88" s="305"/>
      <c r="I88" s="306"/>
      <c r="J88" s="306"/>
      <c r="K88" s="302"/>
      <c r="L88" s="302"/>
      <c r="M88" s="302"/>
      <c r="N88" s="302"/>
      <c r="O88" s="302"/>
      <c r="P88" s="302"/>
      <c r="Q88" s="302"/>
      <c r="R88" s="302"/>
      <c r="S88" s="43"/>
      <c r="T88" s="43"/>
      <c r="U88" s="43"/>
      <c r="V88" s="43"/>
      <c r="W88" s="43"/>
      <c r="X88" s="43"/>
      <c r="Y88" s="43"/>
      <c r="Z88" s="43"/>
      <c r="AA88" s="43"/>
      <c r="AB88" s="43"/>
      <c r="AC88" s="43"/>
      <c r="AD88" s="43"/>
      <c r="AE88" s="43"/>
      <c r="AF88" s="43"/>
      <c r="AG88" s="43"/>
    </row>
    <row r="89" spans="1:33" ht="15" customHeight="1" x14ac:dyDescent="0.3">
      <c r="A89" s="487"/>
      <c r="B89" s="302"/>
      <c r="C89" s="304"/>
      <c r="D89" s="304"/>
      <c r="E89" s="304"/>
      <c r="F89" s="304"/>
      <c r="G89" s="304"/>
      <c r="H89" s="304"/>
      <c r="I89" s="302"/>
      <c r="J89" s="302"/>
      <c r="K89" s="302"/>
      <c r="L89" s="302"/>
      <c r="M89" s="302"/>
      <c r="N89" s="302"/>
      <c r="O89" s="302"/>
      <c r="P89" s="302"/>
      <c r="Q89" s="302"/>
      <c r="R89" s="302"/>
    </row>
    <row r="90" spans="1:33" ht="16" x14ac:dyDescent="0.3">
      <c r="A90" s="487"/>
      <c r="B90" s="302"/>
      <c r="C90" s="304"/>
      <c r="D90" s="8"/>
      <c r="E90" s="8"/>
      <c r="F90" s="8"/>
      <c r="G90" s="8"/>
      <c r="H90" s="8"/>
      <c r="I90" s="1"/>
      <c r="J90" s="42"/>
      <c r="K90" s="1"/>
      <c r="L90" s="1"/>
      <c r="M90" s="42"/>
      <c r="N90" s="42"/>
      <c r="O90" s="1"/>
      <c r="P90" s="1"/>
      <c r="Q90" s="1"/>
      <c r="R90" s="297" t="s">
        <v>10</v>
      </c>
    </row>
    <row r="91" spans="1:33" x14ac:dyDescent="0.3">
      <c r="A91" s="487"/>
      <c r="B91" s="1521" t="s">
        <v>343</v>
      </c>
      <c r="C91" s="1521" t="s">
        <v>37</v>
      </c>
      <c r="D91" s="1656" t="s">
        <v>941</v>
      </c>
      <c r="E91" s="1657"/>
      <c r="F91" s="1657"/>
      <c r="G91" s="1657"/>
      <c r="H91" s="1658"/>
      <c r="I91" s="1656" t="s">
        <v>945</v>
      </c>
      <c r="J91" s="1657"/>
      <c r="K91" s="1657"/>
      <c r="L91" s="1657"/>
      <c r="M91" s="1658"/>
      <c r="N91" s="1656" t="s">
        <v>942</v>
      </c>
      <c r="O91" s="1657"/>
      <c r="P91" s="1657"/>
      <c r="Q91" s="1657"/>
      <c r="R91" s="1658"/>
      <c r="S91" s="1656" t="s">
        <v>944</v>
      </c>
      <c r="T91" s="1657"/>
      <c r="U91" s="1657"/>
      <c r="V91" s="1657"/>
      <c r="W91" s="1658"/>
    </row>
    <row r="92" spans="1:33" x14ac:dyDescent="0.3">
      <c r="A92" s="487"/>
      <c r="B92" s="1521"/>
      <c r="C92" s="1521"/>
      <c r="D92" s="1649" t="s">
        <v>21</v>
      </c>
      <c r="E92" s="1650"/>
      <c r="F92" s="1650"/>
      <c r="G92" s="1650"/>
      <c r="H92" s="1651"/>
      <c r="I92" s="1649" t="s">
        <v>21</v>
      </c>
      <c r="J92" s="1650"/>
      <c r="K92" s="1650"/>
      <c r="L92" s="1650"/>
      <c r="M92" s="1651"/>
      <c r="N92" s="1649" t="s">
        <v>21</v>
      </c>
      <c r="O92" s="1650"/>
      <c r="P92" s="1650"/>
      <c r="Q92" s="1650"/>
      <c r="R92" s="1651"/>
      <c r="S92" s="1652" t="s">
        <v>21</v>
      </c>
      <c r="T92" s="1653"/>
      <c r="U92" s="1653"/>
      <c r="V92" s="1653"/>
      <c r="W92" s="1653"/>
    </row>
    <row r="93" spans="1:33" ht="56" x14ac:dyDescent="0.3">
      <c r="A93" s="487"/>
      <c r="B93" s="1521"/>
      <c r="C93" s="1521"/>
      <c r="D93" s="653" t="s">
        <v>273</v>
      </c>
      <c r="E93" s="653" t="s">
        <v>268</v>
      </c>
      <c r="F93" s="303" t="s">
        <v>274</v>
      </c>
      <c r="G93" s="645" t="s">
        <v>601</v>
      </c>
      <c r="H93" s="653" t="s">
        <v>275</v>
      </c>
      <c r="I93" s="653" t="s">
        <v>273</v>
      </c>
      <c r="J93" s="653" t="s">
        <v>268</v>
      </c>
      <c r="K93" s="303" t="s">
        <v>274</v>
      </c>
      <c r="L93" s="645" t="s">
        <v>601</v>
      </c>
      <c r="M93" s="653" t="s">
        <v>275</v>
      </c>
      <c r="N93" s="653" t="s">
        <v>273</v>
      </c>
      <c r="O93" s="653" t="s">
        <v>268</v>
      </c>
      <c r="P93" s="303" t="s">
        <v>274</v>
      </c>
      <c r="Q93" s="645" t="s">
        <v>601</v>
      </c>
      <c r="R93" s="653" t="s">
        <v>275</v>
      </c>
      <c r="S93" s="594" t="s">
        <v>273</v>
      </c>
      <c r="T93" s="594" t="s">
        <v>268</v>
      </c>
      <c r="U93" s="303" t="s">
        <v>274</v>
      </c>
      <c r="V93" s="592" t="s">
        <v>601</v>
      </c>
      <c r="W93" s="594" t="s">
        <v>275</v>
      </c>
    </row>
    <row r="94" spans="1:33" ht="28" x14ac:dyDescent="0.3">
      <c r="A94" s="487"/>
      <c r="B94" s="298"/>
      <c r="C94" s="298"/>
      <c r="D94" s="298" t="s">
        <v>675</v>
      </c>
      <c r="E94" s="298" t="s">
        <v>676</v>
      </c>
      <c r="F94" s="298" t="s">
        <v>677</v>
      </c>
      <c r="G94" s="298" t="s">
        <v>678</v>
      </c>
      <c r="H94" s="298" t="s">
        <v>679</v>
      </c>
      <c r="I94" s="298" t="s">
        <v>680</v>
      </c>
      <c r="J94" s="298" t="s">
        <v>681</v>
      </c>
      <c r="K94" s="298" t="s">
        <v>682</v>
      </c>
      <c r="L94" s="298" t="s">
        <v>683</v>
      </c>
      <c r="M94" s="298" t="s">
        <v>684</v>
      </c>
      <c r="N94" s="298" t="s">
        <v>955</v>
      </c>
      <c r="O94" s="298" t="s">
        <v>956</v>
      </c>
      <c r="P94" s="298" t="s">
        <v>957</v>
      </c>
      <c r="Q94" s="298" t="s">
        <v>958</v>
      </c>
      <c r="R94" s="298" t="s">
        <v>959</v>
      </c>
      <c r="S94" s="298" t="s">
        <v>960</v>
      </c>
      <c r="T94" s="298" t="s">
        <v>961</v>
      </c>
      <c r="U94" s="298" t="s">
        <v>962</v>
      </c>
      <c r="V94" s="298" t="s">
        <v>963</v>
      </c>
      <c r="W94" s="298" t="s">
        <v>964</v>
      </c>
    </row>
    <row r="95" spans="1:33" x14ac:dyDescent="0.3">
      <c r="A95" s="560">
        <f t="shared" ref="A95:A106" si="43">A68</f>
        <v>0</v>
      </c>
      <c r="B95" s="96">
        <v>1</v>
      </c>
      <c r="C95" s="299" t="s">
        <v>860</v>
      </c>
      <c r="D95" s="483">
        <f t="shared" ref="D95:D111" si="44">W68</f>
        <v>0</v>
      </c>
      <c r="E95" s="481">
        <f t="shared" ref="E95:E111" si="45">IF((IFERROR(D95/((D40+E40)*90%),0))&lt;70%,MIN((MAX((D40+E40)*90%-D95,0)),(D40+E40/2)*$A95),MAX((E40+D40)*90%-D95,0)/E$113)</f>
        <v>0</v>
      </c>
      <c r="F95" s="481">
        <f t="shared" ref="F95:F110" si="46">IF(D95=0,0,D95/D40*F40)</f>
        <v>0</v>
      </c>
      <c r="G95" s="482"/>
      <c r="H95" s="483">
        <f>D95+E95-F95-G95</f>
        <v>0</v>
      </c>
      <c r="I95" s="483">
        <f>H95</f>
        <v>0</v>
      </c>
      <c r="J95" s="481">
        <f t="shared" ref="J95:J111" si="47">IF((IFERROR(I95/((I40+J40)*90%),0))&lt;70%,MIN((MAX((I40+J40)*90%-I95,0)),(I40+J40/2)*$A95),MAX((J40+I40)*90%-I95,0)/J$113)</f>
        <v>0</v>
      </c>
      <c r="K95" s="481">
        <f t="shared" ref="K95:K110" si="48">IF(I95=0,0,I95/I40*K40)</f>
        <v>0</v>
      </c>
      <c r="L95" s="482"/>
      <c r="M95" s="483">
        <f>I95+J95-K95-L95</f>
        <v>0</v>
      </c>
      <c r="N95" s="483">
        <f>M95</f>
        <v>0</v>
      </c>
      <c r="O95" s="481">
        <f t="shared" ref="O95:O111" si="49">IF((IFERROR(N95/((N40+O40)*90%),0))&lt;70%,MIN((MAX((N40+O40)*90%-N95,0)),(N40+O40/2)*$A95),MAX((O40+N40)*90%-N95,0)/O$113)</f>
        <v>0</v>
      </c>
      <c r="P95" s="481">
        <f t="shared" ref="P95:P110" si="50">IF(N95=0,0,N95/N40*P40)</f>
        <v>0</v>
      </c>
      <c r="Q95" s="482"/>
      <c r="R95" s="483">
        <f>N95+O95-P95-Q95</f>
        <v>0</v>
      </c>
      <c r="S95" s="483">
        <f>R95</f>
        <v>0</v>
      </c>
      <c r="T95" s="481">
        <f t="shared" ref="T95:T111" si="51">IF((IFERROR(S95/((S40+T40)*90%),0))&lt;70%,MIN((MAX((S40+T40)*90%-S95,0)),(S40+T40/2)*$A95),MAX((T40+S40)*90%-S95,0)/T$113)</f>
        <v>0</v>
      </c>
      <c r="U95" s="481">
        <f t="shared" ref="U95:U110" si="52">IF(S95=0,0,S95/S40*U40)</f>
        <v>0</v>
      </c>
      <c r="V95" s="482"/>
      <c r="W95" s="483">
        <f>S95+T95-U95-V95</f>
        <v>0</v>
      </c>
    </row>
    <row r="96" spans="1:33" x14ac:dyDescent="0.3">
      <c r="A96" s="560">
        <f t="shared" si="43"/>
        <v>3.3399999999999999E-2</v>
      </c>
      <c r="B96" s="96">
        <f>B95+1</f>
        <v>2</v>
      </c>
      <c r="C96" s="299" t="s">
        <v>255</v>
      </c>
      <c r="D96" s="483">
        <f t="shared" si="44"/>
        <v>6.0056548952938984</v>
      </c>
      <c r="E96" s="481">
        <f t="shared" si="45"/>
        <v>0.3519196524960958</v>
      </c>
      <c r="F96" s="481">
        <f t="shared" si="46"/>
        <v>0</v>
      </c>
      <c r="G96" s="482"/>
      <c r="H96" s="483">
        <f t="shared" ref="H96:H106" si="53">D96+E96-F96-G96</f>
        <v>6.3575745477899943</v>
      </c>
      <c r="I96" s="483">
        <f t="shared" ref="I96:I106" si="54">H96</f>
        <v>6.3575745477899943</v>
      </c>
      <c r="J96" s="481">
        <f t="shared" si="47"/>
        <v>0.3519196524960958</v>
      </c>
      <c r="K96" s="481">
        <f t="shared" si="48"/>
        <v>0</v>
      </c>
      <c r="L96" s="482"/>
      <c r="M96" s="483">
        <f t="shared" ref="M96:M106" si="55">I96+J96-K96-L96</f>
        <v>6.7094942002860902</v>
      </c>
      <c r="N96" s="483">
        <f t="shared" ref="N96:N111" si="56">M96</f>
        <v>6.7094942002860902</v>
      </c>
      <c r="O96" s="481">
        <f t="shared" si="49"/>
        <v>1.3866853436666298</v>
      </c>
      <c r="P96" s="481">
        <f t="shared" si="50"/>
        <v>0</v>
      </c>
      <c r="Q96" s="482"/>
      <c r="R96" s="483">
        <f t="shared" ref="R96:R111" si="57">N96+O96-P96-Q96</f>
        <v>8.0961795439527204</v>
      </c>
      <c r="S96" s="483">
        <f t="shared" ref="S96:S111" si="58">R96</f>
        <v>8.0961795439527204</v>
      </c>
      <c r="T96" s="481">
        <f t="shared" si="51"/>
        <v>1.3866853436666293</v>
      </c>
      <c r="U96" s="481">
        <f t="shared" si="52"/>
        <v>0</v>
      </c>
      <c r="V96" s="482"/>
      <c r="W96" s="483">
        <f t="shared" ref="W96:W111" si="59">S96+T96-U96-V96</f>
        <v>9.4828648876193498</v>
      </c>
    </row>
    <row r="97" spans="1:23" ht="28" x14ac:dyDescent="0.3">
      <c r="A97" s="560">
        <f t="shared" si="43"/>
        <v>5.28E-2</v>
      </c>
      <c r="B97" s="96">
        <f t="shared" ref="B97:B111" si="60">B96+1</f>
        <v>3</v>
      </c>
      <c r="C97" s="300" t="s">
        <v>861</v>
      </c>
      <c r="D97" s="483">
        <f t="shared" si="44"/>
        <v>0</v>
      </c>
      <c r="E97" s="481">
        <f t="shared" si="45"/>
        <v>0</v>
      </c>
      <c r="F97" s="481">
        <f t="shared" si="46"/>
        <v>0</v>
      </c>
      <c r="G97" s="482"/>
      <c r="H97" s="483">
        <f t="shared" si="53"/>
        <v>0</v>
      </c>
      <c r="I97" s="483">
        <f t="shared" si="54"/>
        <v>0</v>
      </c>
      <c r="J97" s="481">
        <f t="shared" si="47"/>
        <v>0</v>
      </c>
      <c r="K97" s="481">
        <f t="shared" si="48"/>
        <v>0</v>
      </c>
      <c r="L97" s="482"/>
      <c r="M97" s="483">
        <f t="shared" si="55"/>
        <v>0</v>
      </c>
      <c r="N97" s="483">
        <f t="shared" si="56"/>
        <v>0</v>
      </c>
      <c r="O97" s="481">
        <f t="shared" si="49"/>
        <v>0</v>
      </c>
      <c r="P97" s="481">
        <f t="shared" si="50"/>
        <v>0</v>
      </c>
      <c r="Q97" s="482"/>
      <c r="R97" s="483">
        <f t="shared" si="57"/>
        <v>0</v>
      </c>
      <c r="S97" s="483">
        <f t="shared" si="58"/>
        <v>0</v>
      </c>
      <c r="T97" s="481">
        <f t="shared" si="51"/>
        <v>0</v>
      </c>
      <c r="U97" s="481">
        <f t="shared" si="52"/>
        <v>0</v>
      </c>
      <c r="V97" s="482"/>
      <c r="W97" s="483">
        <f t="shared" si="59"/>
        <v>0</v>
      </c>
    </row>
    <row r="98" spans="1:23" x14ac:dyDescent="0.3">
      <c r="A98" s="560">
        <f t="shared" si="43"/>
        <v>5.28E-2</v>
      </c>
      <c r="B98" s="96">
        <f t="shared" si="60"/>
        <v>4</v>
      </c>
      <c r="C98" s="300" t="s">
        <v>862</v>
      </c>
      <c r="D98" s="483">
        <f t="shared" si="44"/>
        <v>0.88168856996170597</v>
      </c>
      <c r="E98" s="481">
        <f t="shared" si="45"/>
        <v>1.1934338960548019E-2</v>
      </c>
      <c r="F98" s="481">
        <f t="shared" si="46"/>
        <v>0</v>
      </c>
      <c r="G98" s="482"/>
      <c r="H98" s="483">
        <f t="shared" si="53"/>
        <v>0.89362290892225404</v>
      </c>
      <c r="I98" s="483">
        <f t="shared" si="54"/>
        <v>0.89362290892225404</v>
      </c>
      <c r="J98" s="481">
        <f t="shared" si="47"/>
        <v>1.1934338960548E-2</v>
      </c>
      <c r="K98" s="481">
        <f t="shared" si="48"/>
        <v>0</v>
      </c>
      <c r="L98" s="482"/>
      <c r="M98" s="483">
        <f t="shared" si="55"/>
        <v>0.90555724788280201</v>
      </c>
      <c r="N98" s="483">
        <f t="shared" si="56"/>
        <v>0.90555724788280201</v>
      </c>
      <c r="O98" s="481">
        <f t="shared" si="49"/>
        <v>1.1934338960548019E-2</v>
      </c>
      <c r="P98" s="481">
        <f t="shared" si="50"/>
        <v>0</v>
      </c>
      <c r="Q98" s="482"/>
      <c r="R98" s="483">
        <f t="shared" si="57"/>
        <v>0.91749158684334997</v>
      </c>
      <c r="S98" s="483">
        <f t="shared" si="58"/>
        <v>0.91749158684334997</v>
      </c>
      <c r="T98" s="481">
        <f t="shared" si="51"/>
        <v>1.1934338960548074E-2</v>
      </c>
      <c r="U98" s="481">
        <f t="shared" si="52"/>
        <v>0</v>
      </c>
      <c r="V98" s="482"/>
      <c r="W98" s="483">
        <f t="shared" si="59"/>
        <v>0.92942592580389805</v>
      </c>
    </row>
    <row r="99" spans="1:23" x14ac:dyDescent="0.3">
      <c r="A99" s="560">
        <f t="shared" si="43"/>
        <v>3.3399999999999999E-2</v>
      </c>
      <c r="B99" s="96">
        <f t="shared" si="60"/>
        <v>5</v>
      </c>
      <c r="C99" s="300" t="s">
        <v>863</v>
      </c>
      <c r="D99" s="483">
        <f t="shared" si="44"/>
        <v>2.8875102999358959</v>
      </c>
      <c r="E99" s="481">
        <f t="shared" si="45"/>
        <v>0.39160124286075526</v>
      </c>
      <c r="F99" s="481">
        <f t="shared" si="46"/>
        <v>0</v>
      </c>
      <c r="G99" s="482"/>
      <c r="H99" s="483">
        <f t="shared" si="53"/>
        <v>3.2791115427966511</v>
      </c>
      <c r="I99" s="483">
        <f t="shared" si="54"/>
        <v>3.2791115427966511</v>
      </c>
      <c r="J99" s="481">
        <f t="shared" si="47"/>
        <v>0.39160124286075526</v>
      </c>
      <c r="K99" s="481">
        <f t="shared" si="48"/>
        <v>0</v>
      </c>
      <c r="L99" s="482"/>
      <c r="M99" s="483">
        <f t="shared" si="55"/>
        <v>3.6707127856574062</v>
      </c>
      <c r="N99" s="483">
        <f t="shared" si="56"/>
        <v>3.6707127856574062</v>
      </c>
      <c r="O99" s="481">
        <f t="shared" si="49"/>
        <v>0.43056790952742191</v>
      </c>
      <c r="P99" s="481">
        <f t="shared" si="50"/>
        <v>0</v>
      </c>
      <c r="Q99" s="482"/>
      <c r="R99" s="483">
        <f t="shared" si="57"/>
        <v>4.101280695184828</v>
      </c>
      <c r="S99" s="483">
        <f t="shared" si="58"/>
        <v>4.101280695184828</v>
      </c>
      <c r="T99" s="481">
        <f t="shared" si="51"/>
        <v>0.46953457619408862</v>
      </c>
      <c r="U99" s="481">
        <f t="shared" si="52"/>
        <v>0</v>
      </c>
      <c r="V99" s="482"/>
      <c r="W99" s="483">
        <f t="shared" si="59"/>
        <v>4.5708152713789163</v>
      </c>
    </row>
    <row r="100" spans="1:23" x14ac:dyDescent="0.3">
      <c r="A100" s="560">
        <f t="shared" si="43"/>
        <v>5.28E-2</v>
      </c>
      <c r="B100" s="96">
        <f t="shared" si="60"/>
        <v>6</v>
      </c>
      <c r="C100" s="299" t="s">
        <v>254</v>
      </c>
      <c r="D100" s="483">
        <f t="shared" si="44"/>
        <v>13.276235893740814</v>
      </c>
      <c r="E100" s="481">
        <f t="shared" si="45"/>
        <v>3.4088872093965596</v>
      </c>
      <c r="F100" s="481">
        <f t="shared" si="46"/>
        <v>0</v>
      </c>
      <c r="G100" s="482"/>
      <c r="H100" s="483">
        <f t="shared" si="53"/>
        <v>16.685123103137375</v>
      </c>
      <c r="I100" s="483">
        <f t="shared" si="54"/>
        <v>16.685123103137375</v>
      </c>
      <c r="J100" s="481">
        <f t="shared" si="47"/>
        <v>3.4088872093965596</v>
      </c>
      <c r="K100" s="481">
        <f t="shared" si="48"/>
        <v>0</v>
      </c>
      <c r="L100" s="482"/>
      <c r="M100" s="483">
        <f t="shared" si="55"/>
        <v>20.094010312533936</v>
      </c>
      <c r="N100" s="483">
        <f t="shared" si="56"/>
        <v>20.094010312533936</v>
      </c>
      <c r="O100" s="481">
        <f t="shared" si="49"/>
        <v>4.0794472093965597</v>
      </c>
      <c r="P100" s="481">
        <f t="shared" si="50"/>
        <v>0</v>
      </c>
      <c r="Q100" s="482"/>
      <c r="R100" s="483">
        <f t="shared" si="57"/>
        <v>24.173457521930494</v>
      </c>
      <c r="S100" s="483">
        <f t="shared" si="58"/>
        <v>24.173457521930494</v>
      </c>
      <c r="T100" s="481">
        <f t="shared" si="51"/>
        <v>4.7500072093965597</v>
      </c>
      <c r="U100" s="481">
        <f t="shared" si="52"/>
        <v>0</v>
      </c>
      <c r="V100" s="482"/>
      <c r="W100" s="483">
        <f t="shared" si="59"/>
        <v>28.923464731327055</v>
      </c>
    </row>
    <row r="101" spans="1:23" x14ac:dyDescent="0.3">
      <c r="A101" s="560">
        <f t="shared" si="43"/>
        <v>0.18</v>
      </c>
      <c r="B101" s="96">
        <f t="shared" si="60"/>
        <v>7</v>
      </c>
      <c r="C101" s="299" t="s">
        <v>864</v>
      </c>
      <c r="D101" s="483">
        <f t="shared" si="44"/>
        <v>0.82404386742293956</v>
      </c>
      <c r="E101" s="481">
        <f t="shared" si="45"/>
        <v>6.3557076039806537E-2</v>
      </c>
      <c r="F101" s="481">
        <f t="shared" si="46"/>
        <v>0</v>
      </c>
      <c r="G101" s="482"/>
      <c r="H101" s="483">
        <f t="shared" si="53"/>
        <v>0.88760094346274609</v>
      </c>
      <c r="I101" s="483">
        <f t="shared" si="54"/>
        <v>0.88760094346274609</v>
      </c>
      <c r="J101" s="481">
        <f t="shared" si="47"/>
        <v>6.3557076039806537E-2</v>
      </c>
      <c r="K101" s="481">
        <f t="shared" si="48"/>
        <v>0</v>
      </c>
      <c r="L101" s="482"/>
      <c r="M101" s="483">
        <f t="shared" si="55"/>
        <v>0.95115801950255263</v>
      </c>
      <c r="N101" s="483">
        <f t="shared" si="56"/>
        <v>0.95115801950255263</v>
      </c>
      <c r="O101" s="481">
        <f t="shared" si="49"/>
        <v>6.3557076039806537E-2</v>
      </c>
      <c r="P101" s="481">
        <f t="shared" si="50"/>
        <v>0</v>
      </c>
      <c r="Q101" s="482"/>
      <c r="R101" s="483">
        <f t="shared" si="57"/>
        <v>1.0147150955423592</v>
      </c>
      <c r="S101" s="483">
        <f t="shared" si="58"/>
        <v>1.0147150955423592</v>
      </c>
      <c r="T101" s="481">
        <f>IFERROR(IF((IFERROR(S101/((S46+T46)*90%),0))&lt;70%,MIN((MAX((S46+T46)*90%-S101,0)),(S46+T46/2)*$A101),MAX((T46+S46)*90%-S101,0)/T$113),0)</f>
        <v>6.3557076039806537E-2</v>
      </c>
      <c r="U101" s="481">
        <f t="shared" si="52"/>
        <v>0</v>
      </c>
      <c r="V101" s="482"/>
      <c r="W101" s="483">
        <f t="shared" si="59"/>
        <v>1.0782721715821657</v>
      </c>
    </row>
    <row r="102" spans="1:23" x14ac:dyDescent="0.3">
      <c r="A102" s="560">
        <f t="shared" si="43"/>
        <v>5.28E-2</v>
      </c>
      <c r="B102" s="96">
        <f t="shared" si="60"/>
        <v>8</v>
      </c>
      <c r="C102" s="299" t="s">
        <v>865</v>
      </c>
      <c r="D102" s="483">
        <f t="shared" si="44"/>
        <v>0</v>
      </c>
      <c r="E102" s="481">
        <f t="shared" si="45"/>
        <v>0</v>
      </c>
      <c r="F102" s="481">
        <f t="shared" si="46"/>
        <v>0</v>
      </c>
      <c r="G102" s="482"/>
      <c r="H102" s="483">
        <f t="shared" si="53"/>
        <v>0</v>
      </c>
      <c r="I102" s="483">
        <f t="shared" si="54"/>
        <v>0</v>
      </c>
      <c r="J102" s="481">
        <f t="shared" si="47"/>
        <v>0</v>
      </c>
      <c r="K102" s="481">
        <f t="shared" si="48"/>
        <v>0</v>
      </c>
      <c r="L102" s="482"/>
      <c r="M102" s="483">
        <f t="shared" si="55"/>
        <v>0</v>
      </c>
      <c r="N102" s="483">
        <f t="shared" si="56"/>
        <v>0</v>
      </c>
      <c r="O102" s="481">
        <f t="shared" si="49"/>
        <v>0</v>
      </c>
      <c r="P102" s="481">
        <f t="shared" si="50"/>
        <v>0</v>
      </c>
      <c r="Q102" s="482"/>
      <c r="R102" s="483">
        <f t="shared" si="57"/>
        <v>0</v>
      </c>
      <c r="S102" s="483">
        <f t="shared" si="58"/>
        <v>0</v>
      </c>
      <c r="T102" s="481">
        <f t="shared" si="51"/>
        <v>0</v>
      </c>
      <c r="U102" s="481">
        <f t="shared" si="52"/>
        <v>0</v>
      </c>
      <c r="V102" s="482"/>
      <c r="W102" s="483">
        <f t="shared" si="59"/>
        <v>0</v>
      </c>
    </row>
    <row r="103" spans="1:23" x14ac:dyDescent="0.3">
      <c r="A103" s="560">
        <f t="shared" si="43"/>
        <v>5.28E-2</v>
      </c>
      <c r="B103" s="96">
        <f t="shared" si="60"/>
        <v>9</v>
      </c>
      <c r="C103" s="299" t="s">
        <v>866</v>
      </c>
      <c r="D103" s="483">
        <f t="shared" si="44"/>
        <v>2.165608842212623</v>
      </c>
      <c r="E103" s="481">
        <f t="shared" si="45"/>
        <v>1.5705706968630162E-2</v>
      </c>
      <c r="F103" s="481">
        <f t="shared" si="46"/>
        <v>0</v>
      </c>
      <c r="G103" s="482"/>
      <c r="H103" s="483">
        <f t="shared" si="53"/>
        <v>2.1813145491812529</v>
      </c>
      <c r="I103" s="483">
        <f t="shared" si="54"/>
        <v>2.1813145491812529</v>
      </c>
      <c r="J103" s="481">
        <f t="shared" si="47"/>
        <v>1.5705706968630235E-2</v>
      </c>
      <c r="K103" s="481">
        <f t="shared" si="48"/>
        <v>0</v>
      </c>
      <c r="L103" s="482"/>
      <c r="M103" s="483">
        <f t="shared" si="55"/>
        <v>2.1970202561498833</v>
      </c>
      <c r="N103" s="483">
        <f t="shared" si="56"/>
        <v>2.1970202561498833</v>
      </c>
      <c r="O103" s="481">
        <f t="shared" si="49"/>
        <v>1.5705706968630162E-2</v>
      </c>
      <c r="P103" s="481">
        <f t="shared" si="50"/>
        <v>0</v>
      </c>
      <c r="Q103" s="482"/>
      <c r="R103" s="483">
        <f t="shared" si="57"/>
        <v>2.2127259631185137</v>
      </c>
      <c r="S103" s="483">
        <f t="shared" si="58"/>
        <v>2.2127259631185137</v>
      </c>
      <c r="T103" s="481">
        <f t="shared" si="51"/>
        <v>1.570570696862994E-2</v>
      </c>
      <c r="U103" s="481">
        <f t="shared" si="52"/>
        <v>0</v>
      </c>
      <c r="V103" s="482"/>
      <c r="W103" s="483">
        <f t="shared" si="59"/>
        <v>2.2284316700871436</v>
      </c>
    </row>
    <row r="104" spans="1:23" x14ac:dyDescent="0.3">
      <c r="A104" s="560">
        <f t="shared" si="43"/>
        <v>9.5000000000000001E-2</v>
      </c>
      <c r="B104" s="96">
        <f t="shared" si="60"/>
        <v>10</v>
      </c>
      <c r="C104" s="299" t="s">
        <v>258</v>
      </c>
      <c r="D104" s="483">
        <f t="shared" si="44"/>
        <v>1.2820251429798042</v>
      </c>
      <c r="E104" s="481">
        <f t="shared" si="45"/>
        <v>1.0915708436725846E-2</v>
      </c>
      <c r="F104" s="481">
        <f t="shared" si="46"/>
        <v>0</v>
      </c>
      <c r="G104" s="482"/>
      <c r="H104" s="483">
        <f t="shared" si="53"/>
        <v>1.2929408514165299</v>
      </c>
      <c r="I104" s="483">
        <f t="shared" si="54"/>
        <v>1.2929408514165299</v>
      </c>
      <c r="J104" s="481">
        <f t="shared" si="47"/>
        <v>1.0915708436725883E-2</v>
      </c>
      <c r="K104" s="481">
        <f t="shared" si="48"/>
        <v>0</v>
      </c>
      <c r="L104" s="482"/>
      <c r="M104" s="483">
        <f t="shared" si="55"/>
        <v>1.3038565598532559</v>
      </c>
      <c r="N104" s="483">
        <f t="shared" si="56"/>
        <v>1.3038565598532559</v>
      </c>
      <c r="O104" s="481">
        <f t="shared" si="49"/>
        <v>1.0915708436725846E-2</v>
      </c>
      <c r="P104" s="481">
        <f t="shared" si="50"/>
        <v>0</v>
      </c>
      <c r="Q104" s="482"/>
      <c r="R104" s="483">
        <f t="shared" si="57"/>
        <v>1.3147722682899818</v>
      </c>
      <c r="S104" s="483">
        <f t="shared" si="58"/>
        <v>1.3147722682899818</v>
      </c>
      <c r="T104" s="481">
        <f t="shared" si="51"/>
        <v>1.0915708436725735E-2</v>
      </c>
      <c r="U104" s="481">
        <f t="shared" si="52"/>
        <v>0</v>
      </c>
      <c r="V104" s="482"/>
      <c r="W104" s="483">
        <f t="shared" si="59"/>
        <v>1.3256879767267076</v>
      </c>
    </row>
    <row r="105" spans="1:23" x14ac:dyDescent="0.3">
      <c r="A105" s="560">
        <f t="shared" si="43"/>
        <v>6.3299999999999995E-2</v>
      </c>
      <c r="B105" s="96">
        <f t="shared" si="60"/>
        <v>11</v>
      </c>
      <c r="C105" s="299" t="s">
        <v>259</v>
      </c>
      <c r="D105" s="483">
        <f t="shared" si="44"/>
        <v>2.0707957920502689</v>
      </c>
      <c r="E105" s="481">
        <f t="shared" si="45"/>
        <v>0.16218869827568472</v>
      </c>
      <c r="F105" s="481">
        <f t="shared" si="46"/>
        <v>0</v>
      </c>
      <c r="G105" s="482"/>
      <c r="H105" s="483">
        <f t="shared" si="53"/>
        <v>2.2329844903259537</v>
      </c>
      <c r="I105" s="483">
        <f t="shared" si="54"/>
        <v>2.2329844903259537</v>
      </c>
      <c r="J105" s="481">
        <f t="shared" si="47"/>
        <v>0.16218869827568469</v>
      </c>
      <c r="K105" s="481">
        <f t="shared" si="48"/>
        <v>0</v>
      </c>
      <c r="L105" s="482"/>
      <c r="M105" s="483">
        <f t="shared" si="55"/>
        <v>2.3951731886016385</v>
      </c>
      <c r="N105" s="483">
        <f t="shared" si="56"/>
        <v>2.3951731886016385</v>
      </c>
      <c r="O105" s="481">
        <f t="shared" si="49"/>
        <v>0.16218869827568461</v>
      </c>
      <c r="P105" s="481">
        <f t="shared" si="50"/>
        <v>0</v>
      </c>
      <c r="Q105" s="482"/>
      <c r="R105" s="483">
        <f t="shared" si="57"/>
        <v>2.5573618868773229</v>
      </c>
      <c r="S105" s="483">
        <f t="shared" si="58"/>
        <v>2.5573618868773229</v>
      </c>
      <c r="T105" s="481">
        <f t="shared" si="51"/>
        <v>0.16218869827568483</v>
      </c>
      <c r="U105" s="481">
        <f t="shared" si="52"/>
        <v>0</v>
      </c>
      <c r="V105" s="482"/>
      <c r="W105" s="483">
        <f t="shared" si="59"/>
        <v>2.7195505851530077</v>
      </c>
    </row>
    <row r="106" spans="1:23" x14ac:dyDescent="0.3">
      <c r="A106" s="560">
        <f t="shared" si="43"/>
        <v>6.3299999999999995E-2</v>
      </c>
      <c r="B106" s="96">
        <f t="shared" si="60"/>
        <v>12</v>
      </c>
      <c r="C106" s="299" t="s">
        <v>260</v>
      </c>
      <c r="D106" s="483">
        <f t="shared" si="44"/>
        <v>1.7221998834483734</v>
      </c>
      <c r="E106" s="481">
        <f t="shared" si="45"/>
        <v>0.15175005945898545</v>
      </c>
      <c r="F106" s="481">
        <f t="shared" si="46"/>
        <v>0</v>
      </c>
      <c r="G106" s="482"/>
      <c r="H106" s="483">
        <f t="shared" si="53"/>
        <v>1.8739499429073589</v>
      </c>
      <c r="I106" s="483">
        <f t="shared" si="54"/>
        <v>1.8739499429073589</v>
      </c>
      <c r="J106" s="481">
        <f t="shared" si="47"/>
        <v>0.15175005945898543</v>
      </c>
      <c r="K106" s="481">
        <f t="shared" si="48"/>
        <v>0</v>
      </c>
      <c r="L106" s="482"/>
      <c r="M106" s="483">
        <f t="shared" si="55"/>
        <v>2.0257000023663445</v>
      </c>
      <c r="N106" s="483">
        <f t="shared" si="56"/>
        <v>2.0257000023663445</v>
      </c>
      <c r="O106" s="481">
        <f t="shared" si="49"/>
        <v>0.15175005945898534</v>
      </c>
      <c r="P106" s="481">
        <f t="shared" si="50"/>
        <v>0</v>
      </c>
      <c r="Q106" s="482"/>
      <c r="R106" s="483">
        <f t="shared" si="57"/>
        <v>2.1774500618253301</v>
      </c>
      <c r="S106" s="483">
        <f t="shared" si="58"/>
        <v>2.1774500618253301</v>
      </c>
      <c r="T106" s="481">
        <f t="shared" si="51"/>
        <v>0.15175005945898512</v>
      </c>
      <c r="U106" s="481">
        <f t="shared" si="52"/>
        <v>0</v>
      </c>
      <c r="V106" s="482"/>
      <c r="W106" s="483">
        <f t="shared" si="59"/>
        <v>2.3292001212843152</v>
      </c>
    </row>
    <row r="107" spans="1:23" x14ac:dyDescent="0.3">
      <c r="A107" s="560">
        <f t="shared" ref="A107:A111" si="61">A80</f>
        <v>6.3299999999999995E-2</v>
      </c>
      <c r="B107" s="96">
        <f t="shared" si="60"/>
        <v>13</v>
      </c>
      <c r="C107" s="497" t="s">
        <v>874</v>
      </c>
      <c r="D107" s="483">
        <f t="shared" si="44"/>
        <v>0</v>
      </c>
      <c r="E107" s="481">
        <f t="shared" si="45"/>
        <v>0</v>
      </c>
      <c r="F107" s="481">
        <f t="shared" si="46"/>
        <v>0</v>
      </c>
      <c r="G107" s="482"/>
      <c r="H107" s="483">
        <f t="shared" ref="H107:H111" si="62">D107+E107-F107-G107</f>
        <v>0</v>
      </c>
      <c r="I107" s="483">
        <f t="shared" ref="I107:I111" si="63">H107</f>
        <v>0</v>
      </c>
      <c r="J107" s="481">
        <f t="shared" si="47"/>
        <v>0</v>
      </c>
      <c r="K107" s="481">
        <f t="shared" si="48"/>
        <v>0</v>
      </c>
      <c r="L107" s="482"/>
      <c r="M107" s="483">
        <f t="shared" ref="M107:M111" si="64">I107+J107-K107-L107</f>
        <v>0</v>
      </c>
      <c r="N107" s="483">
        <f t="shared" si="56"/>
        <v>0</v>
      </c>
      <c r="O107" s="481">
        <f t="shared" si="49"/>
        <v>0</v>
      </c>
      <c r="P107" s="481">
        <f t="shared" si="50"/>
        <v>0</v>
      </c>
      <c r="Q107" s="482"/>
      <c r="R107" s="483">
        <f t="shared" si="57"/>
        <v>0</v>
      </c>
      <c r="S107" s="483">
        <f t="shared" si="58"/>
        <v>0</v>
      </c>
      <c r="T107" s="481">
        <f t="shared" si="51"/>
        <v>0</v>
      </c>
      <c r="U107" s="481">
        <f t="shared" si="52"/>
        <v>0</v>
      </c>
      <c r="V107" s="482"/>
      <c r="W107" s="483">
        <f t="shared" si="59"/>
        <v>0</v>
      </c>
    </row>
    <row r="108" spans="1:23" x14ac:dyDescent="0.3">
      <c r="A108" s="560">
        <f t="shared" si="61"/>
        <v>0.15</v>
      </c>
      <c r="B108" s="96">
        <f t="shared" si="60"/>
        <v>14</v>
      </c>
      <c r="C108" s="497" t="s">
        <v>875</v>
      </c>
      <c r="D108" s="483">
        <f t="shared" si="44"/>
        <v>0</v>
      </c>
      <c r="E108" s="481">
        <f>IF((IFERROR(D108/((D53+E53)*100%),0))&lt;70%,MIN((MAX((D53+E53)*100%-D108,0)),(D53+E53/2)*$A108),MAX((E53+D53)*100%-D108,0)/E$113)</f>
        <v>0</v>
      </c>
      <c r="F108" s="481">
        <f t="shared" si="46"/>
        <v>0</v>
      </c>
      <c r="G108" s="482"/>
      <c r="H108" s="483">
        <f t="shared" si="62"/>
        <v>0</v>
      </c>
      <c r="I108" s="483">
        <f t="shared" si="63"/>
        <v>0</v>
      </c>
      <c r="J108" s="481">
        <f>IF((IFERROR(I108/((I53+J53)*100%),0))&lt;70%,MIN((MAX((I53+J53)*100%-I108,0)),(I53+J53/2)*$A108),MAX((J53+I53)*100%-I108,0)/J$113)</f>
        <v>0</v>
      </c>
      <c r="K108" s="481">
        <f t="shared" si="48"/>
        <v>0</v>
      </c>
      <c r="L108" s="482"/>
      <c r="M108" s="483">
        <f t="shared" si="64"/>
        <v>0</v>
      </c>
      <c r="N108" s="483">
        <f t="shared" si="56"/>
        <v>0</v>
      </c>
      <c r="O108" s="481">
        <f>IF((IFERROR(N108/((N53+O53)*100%),0))&lt;70%,MIN((MAX((N53+O53)*100%-N108,0)),(N53+O53/2)*$A108),MAX((O53+N53)*100%-N108,0)/O$113)</f>
        <v>0</v>
      </c>
      <c r="P108" s="481">
        <f t="shared" si="50"/>
        <v>0</v>
      </c>
      <c r="Q108" s="482"/>
      <c r="R108" s="483">
        <f t="shared" si="57"/>
        <v>0</v>
      </c>
      <c r="S108" s="483">
        <f t="shared" si="58"/>
        <v>0</v>
      </c>
      <c r="T108" s="481">
        <f>IF((IFERROR(S108/((S53+T53)*100%),0))&lt;70%,MIN((MAX((S53+T53)*100%-S108,0)),(S53+T53/2)*$A108),MAX((T53+S53)*100%-S108,0)/T$113)</f>
        <v>0</v>
      </c>
      <c r="U108" s="481">
        <f t="shared" si="52"/>
        <v>0</v>
      </c>
      <c r="V108" s="482"/>
      <c r="W108" s="483">
        <f t="shared" si="59"/>
        <v>0</v>
      </c>
    </row>
    <row r="109" spans="1:23" x14ac:dyDescent="0.3">
      <c r="A109" s="560">
        <f t="shared" si="61"/>
        <v>0.3</v>
      </c>
      <c r="B109" s="96">
        <f t="shared" si="60"/>
        <v>15</v>
      </c>
      <c r="C109" s="497" t="s">
        <v>876</v>
      </c>
      <c r="D109" s="483">
        <f t="shared" si="44"/>
        <v>0</v>
      </c>
      <c r="E109" s="481">
        <f>IF((IFERROR(D109/((D54+E54)*100%),0))&lt;70%,MIN((MAX((D54+E54)*100%-D109,0)),(D54+E54/2)*$A109),MAX((E54+D54)*100%-D109,0)/E$113)</f>
        <v>0</v>
      </c>
      <c r="F109" s="481">
        <f t="shared" si="46"/>
        <v>0</v>
      </c>
      <c r="G109" s="482"/>
      <c r="H109" s="483">
        <f t="shared" si="62"/>
        <v>0</v>
      </c>
      <c r="I109" s="483">
        <f t="shared" si="63"/>
        <v>0</v>
      </c>
      <c r="J109" s="481">
        <f>IF((IFERROR(I109/((I54+J54)*100%),0))&lt;70%,MIN((MAX((I54+J54)*100%-I109,0)),(I54+J54/2)*$A109),MAX((J54+I54)*100%-I109,0)/J$113)</f>
        <v>0</v>
      </c>
      <c r="K109" s="481">
        <f t="shared" si="48"/>
        <v>0</v>
      </c>
      <c r="L109" s="482"/>
      <c r="M109" s="483">
        <f t="shared" si="64"/>
        <v>0</v>
      </c>
      <c r="N109" s="483">
        <f t="shared" si="56"/>
        <v>0</v>
      </c>
      <c r="O109" s="481">
        <f>IF((IFERROR(N109/((N54+O54)*100%),0))&lt;70%,MIN((MAX((N54+O54)*100%-N109,0)),(N54+O54/2)*$A109),MAX((O54+N54)*100%-N109,0)/O$113)</f>
        <v>0</v>
      </c>
      <c r="P109" s="481">
        <f t="shared" si="50"/>
        <v>0</v>
      </c>
      <c r="Q109" s="482"/>
      <c r="R109" s="483">
        <f t="shared" si="57"/>
        <v>0</v>
      </c>
      <c r="S109" s="483">
        <f t="shared" si="58"/>
        <v>0</v>
      </c>
      <c r="T109" s="481">
        <f>IF((IFERROR(S109/((S54+T54)*100%),0))&lt;70%,MIN((MAX((S54+T54)*100%-S109,0)),(S54+T54/2)*$A109),MAX((T54+S54)*100%-S109,0)/T$113)</f>
        <v>0</v>
      </c>
      <c r="U109" s="481">
        <f t="shared" si="52"/>
        <v>0</v>
      </c>
      <c r="V109" s="482"/>
      <c r="W109" s="483">
        <f t="shared" si="59"/>
        <v>0</v>
      </c>
    </row>
    <row r="110" spans="1:23" x14ac:dyDescent="0.3">
      <c r="A110" s="560">
        <f t="shared" si="61"/>
        <v>0.3</v>
      </c>
      <c r="B110" s="96">
        <f t="shared" si="60"/>
        <v>16</v>
      </c>
      <c r="C110" s="497" t="s">
        <v>867</v>
      </c>
      <c r="D110" s="483">
        <f t="shared" si="44"/>
        <v>1.3589212541980193</v>
      </c>
      <c r="E110" s="481">
        <f>IF((IFERROR(D110/((D55+E55)*100%),0))&lt;70%,MIN((MAX((D55+E55)*100%-D110,0)),(D55+E55/2)*$A110),MAX((E55+D55)*100%-D110,0)/E$113)</f>
        <v>1.6274506038299663E-2</v>
      </c>
      <c r="F110" s="481">
        <f t="shared" si="46"/>
        <v>0</v>
      </c>
      <c r="G110" s="482"/>
      <c r="H110" s="483">
        <f t="shared" si="62"/>
        <v>1.375195760236319</v>
      </c>
      <c r="I110" s="483">
        <f t="shared" si="63"/>
        <v>1.375195760236319</v>
      </c>
      <c r="J110" s="481">
        <f>IF((IFERROR(I110/((I55+J55)*100%),0))&lt;70%,MIN((MAX((I55+J55)*100%-I110,0)),(I55+J55/2)*$A110),MAX((J55+I55)*100%-I110,0)/J$113)</f>
        <v>1.627450603829968E-2</v>
      </c>
      <c r="K110" s="481">
        <f t="shared" si="48"/>
        <v>0</v>
      </c>
      <c r="L110" s="482"/>
      <c r="M110" s="483">
        <f t="shared" si="64"/>
        <v>1.3914702662746186</v>
      </c>
      <c r="N110" s="483">
        <f t="shared" si="56"/>
        <v>1.3914702662746186</v>
      </c>
      <c r="O110" s="481">
        <f>IFERROR(IF((IFERROR(N110/((N55+O55)*100%),0))&lt;70%,MIN((MAX((N55+O55)*100%-N110,0)),(N55+O55/2)*$A110),MAX((O55+N55)*100%-N110,0)/O$113),0)</f>
        <v>1.6274506038299719E-2</v>
      </c>
      <c r="P110" s="481">
        <f t="shared" si="50"/>
        <v>0</v>
      </c>
      <c r="Q110" s="482"/>
      <c r="R110" s="483">
        <f t="shared" si="57"/>
        <v>1.4077447723129182</v>
      </c>
      <c r="S110" s="483">
        <f t="shared" si="58"/>
        <v>1.4077447723129182</v>
      </c>
      <c r="T110" s="481">
        <f>IFERROR(IF((IFERROR(S110/((S55+T55)*100%),0))&lt;70%,MIN((MAX((S55+T55)*100%-S110,0)),(S55+T55/2)*$A110),MAX((T55+S55)*100%-S110,0)/T$113),0)</f>
        <v>1.627450603829983E-2</v>
      </c>
      <c r="U110" s="481">
        <f t="shared" si="52"/>
        <v>0</v>
      </c>
      <c r="V110" s="482"/>
      <c r="W110" s="483">
        <f t="shared" si="59"/>
        <v>1.424019278351218</v>
      </c>
    </row>
    <row r="111" spans="1:23" x14ac:dyDescent="0.3">
      <c r="A111" s="560">
        <f t="shared" si="61"/>
        <v>3.3399999999999999E-2</v>
      </c>
      <c r="B111" s="96">
        <f t="shared" si="60"/>
        <v>17</v>
      </c>
      <c r="C111" s="497" t="s">
        <v>877</v>
      </c>
      <c r="D111" s="483">
        <f t="shared" si="44"/>
        <v>5.6340226071562869</v>
      </c>
      <c r="E111" s="481">
        <f t="shared" si="45"/>
        <v>0</v>
      </c>
      <c r="F111" s="481">
        <f>IFERROR(IF(D111=0,0,D111/D56*F56),0)</f>
        <v>0</v>
      </c>
      <c r="G111" s="482"/>
      <c r="H111" s="483">
        <f t="shared" si="62"/>
        <v>5.6340226071562869</v>
      </c>
      <c r="I111" s="483">
        <f t="shared" si="63"/>
        <v>5.6340226071562869</v>
      </c>
      <c r="J111" s="481">
        <f t="shared" si="47"/>
        <v>0</v>
      </c>
      <c r="K111" s="481">
        <f>IFERROR(IF(I111=0,0,I111/I56*K56),0)</f>
        <v>0</v>
      </c>
      <c r="L111" s="482"/>
      <c r="M111" s="483">
        <f t="shared" si="64"/>
        <v>5.6340226071562869</v>
      </c>
      <c r="N111" s="483">
        <f t="shared" si="56"/>
        <v>5.6340226071562869</v>
      </c>
      <c r="O111" s="481">
        <f t="shared" si="49"/>
        <v>0</v>
      </c>
      <c r="P111" s="481">
        <f>IFERROR(IF(N111=0,0,N111/N56*P56),0)</f>
        <v>0</v>
      </c>
      <c r="Q111" s="482"/>
      <c r="R111" s="483">
        <f t="shared" si="57"/>
        <v>5.6340226071562869</v>
      </c>
      <c r="S111" s="483">
        <f t="shared" si="58"/>
        <v>5.6340226071562869</v>
      </c>
      <c r="T111" s="481">
        <f t="shared" si="51"/>
        <v>0</v>
      </c>
      <c r="U111" s="481">
        <f>IFERROR(IF(S111=0,0,S111/S56*U56),0)</f>
        <v>0</v>
      </c>
      <c r="V111" s="482"/>
      <c r="W111" s="483">
        <f t="shared" si="59"/>
        <v>5.6340226071562869</v>
      </c>
    </row>
    <row r="112" spans="1:23" ht="16" x14ac:dyDescent="0.3">
      <c r="B112" s="84"/>
      <c r="C112" s="99" t="s">
        <v>271</v>
      </c>
      <c r="D112" s="397">
        <f t="shared" ref="D112:M112" si="65">SUM(D95:D111)</f>
        <v>38.108707048400632</v>
      </c>
      <c r="E112" s="397">
        <f t="shared" si="65"/>
        <v>4.5847341989320904</v>
      </c>
      <c r="F112" s="397">
        <f t="shared" si="65"/>
        <v>0</v>
      </c>
      <c r="G112" s="397">
        <f t="shared" si="65"/>
        <v>0</v>
      </c>
      <c r="H112" s="397">
        <f t="shared" si="65"/>
        <v>42.693441247332721</v>
      </c>
      <c r="I112" s="397">
        <f t="shared" si="65"/>
        <v>42.693441247332721</v>
      </c>
      <c r="J112" s="397">
        <f t="shared" si="65"/>
        <v>4.5847341989320904</v>
      </c>
      <c r="K112" s="397">
        <f t="shared" si="65"/>
        <v>0</v>
      </c>
      <c r="L112" s="397">
        <f t="shared" si="65"/>
        <v>0</v>
      </c>
      <c r="M112" s="397">
        <f t="shared" si="65"/>
        <v>47.278175446264818</v>
      </c>
      <c r="N112" s="397">
        <f t="shared" ref="N112:W112" si="66">SUM(N95:N111)</f>
        <v>47.278175446264818</v>
      </c>
      <c r="O112" s="397">
        <f t="shared" si="66"/>
        <v>6.3290265567692909</v>
      </c>
      <c r="P112" s="397">
        <f t="shared" si="66"/>
        <v>0</v>
      </c>
      <c r="Q112" s="397">
        <f t="shared" si="66"/>
        <v>0</v>
      </c>
      <c r="R112" s="397">
        <f t="shared" si="66"/>
        <v>53.607202003034104</v>
      </c>
      <c r="S112" s="397">
        <f t="shared" si="66"/>
        <v>53.607202003034104</v>
      </c>
      <c r="T112" s="397">
        <f t="shared" si="66"/>
        <v>7.038553223435958</v>
      </c>
      <c r="U112" s="397">
        <f t="shared" si="66"/>
        <v>0</v>
      </c>
      <c r="V112" s="397">
        <f t="shared" si="66"/>
        <v>0</v>
      </c>
      <c r="W112" s="397">
        <f t="shared" si="66"/>
        <v>60.645755226470058</v>
      </c>
    </row>
    <row r="113" spans="2:23" ht="16" x14ac:dyDescent="0.3">
      <c r="B113" s="302"/>
      <c r="C113" s="304" t="s">
        <v>871</v>
      </c>
      <c r="D113" s="302"/>
      <c r="E113" s="99">
        <f>T86-1</f>
        <v>4</v>
      </c>
      <c r="F113" s="302"/>
      <c r="G113" s="302"/>
      <c r="H113" s="302"/>
      <c r="I113" s="302"/>
      <c r="J113" s="99">
        <f>E113-1</f>
        <v>3</v>
      </c>
      <c r="K113" s="302"/>
      <c r="L113" s="302"/>
      <c r="M113" s="302"/>
      <c r="O113" s="99">
        <f>J113-1</f>
        <v>2</v>
      </c>
      <c r="T113" s="99">
        <f>O113-1</f>
        <v>1</v>
      </c>
    </row>
    <row r="114" spans="2:23" x14ac:dyDescent="0.3">
      <c r="B114" s="1"/>
      <c r="C114" s="1"/>
      <c r="D114" s="1"/>
      <c r="E114" s="1"/>
      <c r="F114" s="1"/>
      <c r="G114" s="1"/>
      <c r="H114" s="1"/>
      <c r="I114" s="1"/>
      <c r="J114" s="1"/>
      <c r="K114" s="1"/>
      <c r="L114" s="1"/>
      <c r="M114" s="1"/>
      <c r="N114" s="1"/>
      <c r="O114" s="1"/>
      <c r="P114" s="1"/>
      <c r="Q114" s="1"/>
      <c r="R114" s="1"/>
    </row>
    <row r="115" spans="2:23" x14ac:dyDescent="0.3">
      <c r="B115" s="293" t="s">
        <v>344</v>
      </c>
      <c r="C115" s="1"/>
      <c r="D115" s="1"/>
      <c r="E115" s="1"/>
      <c r="F115" s="1"/>
      <c r="G115" s="1"/>
      <c r="H115" s="1"/>
      <c r="I115" s="1"/>
      <c r="J115" s="1"/>
      <c r="K115" s="1"/>
      <c r="L115" s="1"/>
      <c r="M115" s="1"/>
      <c r="N115" s="1"/>
      <c r="O115" s="1"/>
      <c r="P115" s="1"/>
      <c r="Q115" s="1"/>
      <c r="R115" s="1"/>
    </row>
    <row r="116" spans="2:23" x14ac:dyDescent="0.3">
      <c r="B116" s="293"/>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M117" s="42"/>
      <c r="N117" s="42"/>
      <c r="O117" s="1"/>
      <c r="P117" s="1"/>
      <c r="Q117" s="1"/>
      <c r="R117" s="297" t="s">
        <v>10</v>
      </c>
    </row>
    <row r="118" spans="2:23" ht="15" customHeight="1" x14ac:dyDescent="0.3">
      <c r="B118" s="1521" t="s">
        <v>343</v>
      </c>
      <c r="C118" s="1521" t="s">
        <v>37</v>
      </c>
      <c r="D118" s="1649" t="s">
        <v>519</v>
      </c>
      <c r="E118" s="1650"/>
      <c r="F118" s="1650"/>
      <c r="G118" s="1650"/>
      <c r="H118" s="1651"/>
      <c r="I118" s="1652" t="s">
        <v>520</v>
      </c>
      <c r="J118" s="1652"/>
      <c r="K118" s="1652"/>
      <c r="L118" s="1652"/>
      <c r="M118" s="1652"/>
      <c r="N118" s="1521" t="s">
        <v>521</v>
      </c>
      <c r="O118" s="1521"/>
      <c r="P118" s="1521"/>
      <c r="Q118" s="1521"/>
      <c r="R118" s="1521"/>
      <c r="S118" s="1648" t="s">
        <v>940</v>
      </c>
      <c r="T118" s="1648"/>
      <c r="U118" s="1648"/>
      <c r="V118" s="1648"/>
      <c r="W118" s="1648"/>
    </row>
    <row r="119" spans="2:23" x14ac:dyDescent="0.3">
      <c r="B119" s="1521"/>
      <c r="C119" s="1521"/>
      <c r="D119" s="1654" t="s">
        <v>7</v>
      </c>
      <c r="E119" s="1655"/>
      <c r="F119" s="1655"/>
      <c r="G119" s="1655"/>
      <c r="H119" s="1655"/>
      <c r="I119" s="1654" t="s">
        <v>7</v>
      </c>
      <c r="J119" s="1655"/>
      <c r="K119" s="1655"/>
      <c r="L119" s="1655"/>
      <c r="M119" s="1655"/>
      <c r="N119" s="1654" t="s">
        <v>12</v>
      </c>
      <c r="O119" s="1655"/>
      <c r="P119" s="1655"/>
      <c r="Q119" s="1655"/>
      <c r="R119" s="1655"/>
      <c r="S119" s="1654" t="s">
        <v>21</v>
      </c>
      <c r="T119" s="1655"/>
      <c r="U119" s="1655"/>
      <c r="V119" s="1655"/>
      <c r="W119" s="1655"/>
    </row>
    <row r="120" spans="2:23" ht="42" x14ac:dyDescent="0.3">
      <c r="B120" s="1521"/>
      <c r="C120" s="1521"/>
      <c r="D120" s="301" t="s">
        <v>267</v>
      </c>
      <c r="E120" s="301" t="s">
        <v>268</v>
      </c>
      <c r="F120" s="303" t="s">
        <v>274</v>
      </c>
      <c r="G120" s="292" t="s">
        <v>601</v>
      </c>
      <c r="H120" s="301" t="s">
        <v>270</v>
      </c>
      <c r="I120" s="301" t="s">
        <v>267</v>
      </c>
      <c r="J120" s="301" t="s">
        <v>268</v>
      </c>
      <c r="K120" s="303" t="s">
        <v>274</v>
      </c>
      <c r="L120" s="292" t="s">
        <v>601</v>
      </c>
      <c r="M120" s="301" t="s">
        <v>270</v>
      </c>
      <c r="N120" s="301" t="s">
        <v>267</v>
      </c>
      <c r="O120" s="301" t="s">
        <v>268</v>
      </c>
      <c r="P120" s="303" t="s">
        <v>274</v>
      </c>
      <c r="Q120" s="292" t="s">
        <v>601</v>
      </c>
      <c r="R120" s="301" t="s">
        <v>270</v>
      </c>
      <c r="S120" s="301" t="s">
        <v>267</v>
      </c>
      <c r="T120" s="301" t="s">
        <v>268</v>
      </c>
      <c r="U120" s="303" t="s">
        <v>274</v>
      </c>
      <c r="V120" s="292" t="s">
        <v>601</v>
      </c>
      <c r="W120" s="301" t="s">
        <v>270</v>
      </c>
    </row>
    <row r="121" spans="2:23" x14ac:dyDescent="0.3">
      <c r="B121" s="298"/>
      <c r="C121" s="298"/>
      <c r="D121" s="298" t="s">
        <v>81</v>
      </c>
      <c r="E121" s="298" t="s">
        <v>82</v>
      </c>
      <c r="F121" s="298" t="s">
        <v>472</v>
      </c>
      <c r="G121" s="298" t="s">
        <v>397</v>
      </c>
      <c r="H121" s="298" t="s">
        <v>602</v>
      </c>
      <c r="I121" s="298" t="s">
        <v>414</v>
      </c>
      <c r="J121" s="298" t="s">
        <v>522</v>
      </c>
      <c r="K121" s="298" t="s">
        <v>415</v>
      </c>
      <c r="L121" s="298" t="s">
        <v>416</v>
      </c>
      <c r="M121" s="298" t="s">
        <v>669</v>
      </c>
      <c r="N121" s="298" t="s">
        <v>603</v>
      </c>
      <c r="O121" s="298" t="s">
        <v>670</v>
      </c>
      <c r="P121" s="298" t="s">
        <v>604</v>
      </c>
      <c r="Q121" s="298" t="s">
        <v>605</v>
      </c>
      <c r="R121" s="298" t="s">
        <v>671</v>
      </c>
      <c r="S121" s="298" t="s">
        <v>609</v>
      </c>
      <c r="T121" s="298" t="s">
        <v>610</v>
      </c>
      <c r="U121" s="298" t="s">
        <v>611</v>
      </c>
      <c r="V121" s="298" t="s">
        <v>673</v>
      </c>
      <c r="W121" s="298" t="s">
        <v>674</v>
      </c>
    </row>
    <row r="122" spans="2:23" x14ac:dyDescent="0.3">
      <c r="B122" s="96">
        <v>1</v>
      </c>
      <c r="C122" s="299" t="s">
        <v>860</v>
      </c>
      <c r="D122" s="481">
        <f t="shared" ref="D122:G138" si="67">D14-D68</f>
        <v>3.6840629179811686E-2</v>
      </c>
      <c r="E122" s="481">
        <f t="shared" si="67"/>
        <v>0</v>
      </c>
      <c r="F122" s="481">
        <f t="shared" si="67"/>
        <v>0</v>
      </c>
      <c r="G122" s="481">
        <f t="shared" si="67"/>
        <v>0</v>
      </c>
      <c r="H122" s="481">
        <f>D122+E122-F122-G122</f>
        <v>3.6840629179811686E-2</v>
      </c>
      <c r="I122" s="481">
        <f t="shared" ref="I122:L138" si="68">I14-I68</f>
        <v>3.6840629179811686E-2</v>
      </c>
      <c r="J122" s="481">
        <f t="shared" si="68"/>
        <v>0</v>
      </c>
      <c r="K122" s="481">
        <f t="shared" si="68"/>
        <v>0</v>
      </c>
      <c r="L122" s="481">
        <f t="shared" si="68"/>
        <v>0</v>
      </c>
      <c r="M122" s="483">
        <f>I122+J122-K122-L122</f>
        <v>3.6840629179811686E-2</v>
      </c>
      <c r="N122" s="481">
        <f t="shared" ref="N122:Q138" si="69">N14-N68</f>
        <v>3.6840629179811686E-2</v>
      </c>
      <c r="O122" s="481">
        <f t="shared" si="69"/>
        <v>0</v>
      </c>
      <c r="P122" s="481">
        <f t="shared" si="69"/>
        <v>0</v>
      </c>
      <c r="Q122" s="481">
        <f t="shared" si="69"/>
        <v>0</v>
      </c>
      <c r="R122" s="483">
        <f>N122+O122-P122-Q122</f>
        <v>3.6840629179811686E-2</v>
      </c>
      <c r="S122" s="486">
        <f t="shared" ref="S122:V138" si="70">S14-S68</f>
        <v>3.6840629179811686E-2</v>
      </c>
      <c r="T122" s="486">
        <f t="shared" si="70"/>
        <v>0</v>
      </c>
      <c r="U122" s="486">
        <f t="shared" si="70"/>
        <v>0</v>
      </c>
      <c r="V122" s="486">
        <f t="shared" si="70"/>
        <v>0</v>
      </c>
      <c r="W122" s="481">
        <f>S122+T122-U122-V122</f>
        <v>3.6840629179811686E-2</v>
      </c>
    </row>
    <row r="123" spans="2:23" x14ac:dyDescent="0.3">
      <c r="B123" s="96">
        <f>B122+1</f>
        <v>2</v>
      </c>
      <c r="C123" s="299" t="s">
        <v>255</v>
      </c>
      <c r="D123" s="481">
        <f t="shared" si="67"/>
        <v>3.9098524173595273</v>
      </c>
      <c r="E123" s="481">
        <f t="shared" si="67"/>
        <v>-0.18756980515769583</v>
      </c>
      <c r="F123" s="481">
        <f t="shared" si="67"/>
        <v>0.76645671237520618</v>
      </c>
      <c r="G123" s="481">
        <f t="shared" si="67"/>
        <v>0</v>
      </c>
      <c r="H123" s="481">
        <f t="shared" ref="H123:H133" si="71">D123+E123-F123-G123</f>
        <v>2.9558258998266251</v>
      </c>
      <c r="I123" s="481">
        <f t="shared" si="68"/>
        <v>2.9558258998266247</v>
      </c>
      <c r="J123" s="481">
        <f t="shared" si="68"/>
        <v>2.4355963826485039</v>
      </c>
      <c r="K123" s="481">
        <f t="shared" si="68"/>
        <v>0.15672133097755897</v>
      </c>
      <c r="L123" s="481">
        <f t="shared" si="68"/>
        <v>0</v>
      </c>
      <c r="M123" s="483">
        <f t="shared" ref="M123:M133" si="72">I123+J123-K123-L123</f>
        <v>5.2347009514975689</v>
      </c>
      <c r="N123" s="481">
        <f t="shared" si="69"/>
        <v>5.2347009514975698</v>
      </c>
      <c r="O123" s="481">
        <f t="shared" si="69"/>
        <v>-0.3519196524960958</v>
      </c>
      <c r="P123" s="481">
        <f t="shared" si="69"/>
        <v>0</v>
      </c>
      <c r="Q123" s="481">
        <f t="shared" si="69"/>
        <v>0</v>
      </c>
      <c r="R123" s="483">
        <f t="shared" ref="R123:R133" si="73">N123+O123-P123-Q123</f>
        <v>4.8827812990014738</v>
      </c>
      <c r="S123" s="486">
        <f t="shared" si="70"/>
        <v>4.8827812990014738</v>
      </c>
      <c r="T123" s="486">
        <f t="shared" si="70"/>
        <v>-0.3519196524960958</v>
      </c>
      <c r="U123" s="486">
        <f t="shared" si="70"/>
        <v>0</v>
      </c>
      <c r="V123" s="486">
        <f t="shared" si="70"/>
        <v>0</v>
      </c>
      <c r="W123" s="481">
        <f t="shared" ref="W123:W133" si="74">S123+T123-U123-V123</f>
        <v>4.5308616465053779</v>
      </c>
    </row>
    <row r="124" spans="2:23" ht="28" x14ac:dyDescent="0.3">
      <c r="B124" s="96">
        <f t="shared" ref="B124:B138" si="75">B123+1</f>
        <v>3</v>
      </c>
      <c r="C124" s="300" t="s">
        <v>861</v>
      </c>
      <c r="D124" s="481">
        <f t="shared" si="67"/>
        <v>0</v>
      </c>
      <c r="E124" s="481">
        <f t="shared" si="67"/>
        <v>0</v>
      </c>
      <c r="F124" s="481">
        <f t="shared" si="67"/>
        <v>0</v>
      </c>
      <c r="G124" s="481">
        <f t="shared" si="67"/>
        <v>0</v>
      </c>
      <c r="H124" s="481">
        <f t="shared" si="71"/>
        <v>0</v>
      </c>
      <c r="I124" s="481">
        <f t="shared" si="68"/>
        <v>0</v>
      </c>
      <c r="J124" s="481">
        <f t="shared" si="68"/>
        <v>0</v>
      </c>
      <c r="K124" s="481">
        <f t="shared" si="68"/>
        <v>0</v>
      </c>
      <c r="L124" s="481">
        <f t="shared" si="68"/>
        <v>0</v>
      </c>
      <c r="M124" s="483">
        <f t="shared" si="72"/>
        <v>0</v>
      </c>
      <c r="N124" s="481">
        <f t="shared" si="69"/>
        <v>0</v>
      </c>
      <c r="O124" s="481">
        <f t="shared" si="69"/>
        <v>0</v>
      </c>
      <c r="P124" s="481">
        <f t="shared" si="69"/>
        <v>0</v>
      </c>
      <c r="Q124" s="481">
        <f t="shared" si="69"/>
        <v>0</v>
      </c>
      <c r="R124" s="483">
        <f t="shared" si="73"/>
        <v>0</v>
      </c>
      <c r="S124" s="486">
        <f t="shared" si="70"/>
        <v>0</v>
      </c>
      <c r="T124" s="486">
        <f t="shared" si="70"/>
        <v>0</v>
      </c>
      <c r="U124" s="486">
        <f t="shared" si="70"/>
        <v>0</v>
      </c>
      <c r="V124" s="486">
        <f t="shared" si="70"/>
        <v>0</v>
      </c>
      <c r="W124" s="481">
        <f t="shared" si="74"/>
        <v>0</v>
      </c>
    </row>
    <row r="125" spans="2:23" x14ac:dyDescent="0.3">
      <c r="B125" s="96">
        <f t="shared" si="75"/>
        <v>4</v>
      </c>
      <c r="C125" s="300" t="s">
        <v>862</v>
      </c>
      <c r="D125" s="481">
        <f t="shared" si="67"/>
        <v>0.20808088821633952</v>
      </c>
      <c r="E125" s="481">
        <f t="shared" si="67"/>
        <v>-2.0955968180959062E-2</v>
      </c>
      <c r="F125" s="481">
        <f t="shared" si="67"/>
        <v>0</v>
      </c>
      <c r="G125" s="481">
        <f t="shared" si="67"/>
        <v>0</v>
      </c>
      <c r="H125" s="481">
        <f t="shared" si="71"/>
        <v>0.18712492003538045</v>
      </c>
      <c r="I125" s="481">
        <f t="shared" si="68"/>
        <v>0.1871249200353805</v>
      </c>
      <c r="J125" s="481">
        <f t="shared" si="68"/>
        <v>-1.2249338960548027E-2</v>
      </c>
      <c r="K125" s="481">
        <f t="shared" si="68"/>
        <v>0</v>
      </c>
      <c r="L125" s="481">
        <f t="shared" si="68"/>
        <v>0</v>
      </c>
      <c r="M125" s="483">
        <f t="shared" si="72"/>
        <v>0.17487558107483248</v>
      </c>
      <c r="N125" s="481">
        <f t="shared" si="69"/>
        <v>0.17487558107483236</v>
      </c>
      <c r="O125" s="481">
        <f t="shared" si="69"/>
        <v>-1.1934338960548019E-2</v>
      </c>
      <c r="P125" s="481">
        <f t="shared" si="69"/>
        <v>0</v>
      </c>
      <c r="Q125" s="481">
        <f t="shared" si="69"/>
        <v>0</v>
      </c>
      <c r="R125" s="483">
        <f t="shared" si="73"/>
        <v>0.16294124211428435</v>
      </c>
      <c r="S125" s="486">
        <f t="shared" si="70"/>
        <v>0.1629412421142844</v>
      </c>
      <c r="T125" s="486">
        <f t="shared" si="70"/>
        <v>-1.1934338960548029E-2</v>
      </c>
      <c r="U125" s="486">
        <f t="shared" si="70"/>
        <v>0</v>
      </c>
      <c r="V125" s="486">
        <f t="shared" si="70"/>
        <v>0</v>
      </c>
      <c r="W125" s="481">
        <f t="shared" si="74"/>
        <v>0.15100690315373638</v>
      </c>
    </row>
    <row r="126" spans="2:23" x14ac:dyDescent="0.3">
      <c r="B126" s="96">
        <f t="shared" si="75"/>
        <v>5</v>
      </c>
      <c r="C126" s="300" t="s">
        <v>863</v>
      </c>
      <c r="D126" s="481">
        <f t="shared" si="67"/>
        <v>7.577502254302062</v>
      </c>
      <c r="E126" s="481">
        <f t="shared" si="67"/>
        <v>3.7396466993158448</v>
      </c>
      <c r="F126" s="481">
        <f t="shared" si="67"/>
        <v>1.4687834239085573</v>
      </c>
      <c r="G126" s="481">
        <f t="shared" si="67"/>
        <v>0</v>
      </c>
      <c r="H126" s="481">
        <f t="shared" si="71"/>
        <v>9.8483655297093478</v>
      </c>
      <c r="I126" s="481">
        <f t="shared" si="68"/>
        <v>9.8483655297093478</v>
      </c>
      <c r="J126" s="481">
        <f t="shared" si="68"/>
        <v>-0.12686268042075527</v>
      </c>
      <c r="K126" s="481">
        <f t="shared" si="68"/>
        <v>0.10122255389952634</v>
      </c>
      <c r="L126" s="481">
        <f t="shared" si="68"/>
        <v>0</v>
      </c>
      <c r="M126" s="483">
        <f t="shared" si="72"/>
        <v>9.6202802953890654</v>
      </c>
      <c r="N126" s="481">
        <f t="shared" si="69"/>
        <v>9.6202802953890654</v>
      </c>
      <c r="O126" s="481">
        <f t="shared" si="69"/>
        <v>-0.39160124286075526</v>
      </c>
      <c r="P126" s="481">
        <f t="shared" si="69"/>
        <v>0</v>
      </c>
      <c r="Q126" s="481">
        <f t="shared" si="69"/>
        <v>0</v>
      </c>
      <c r="R126" s="483">
        <f t="shared" si="73"/>
        <v>9.2286790525283102</v>
      </c>
      <c r="S126" s="486">
        <f t="shared" si="70"/>
        <v>9.2286790525283102</v>
      </c>
      <c r="T126" s="486">
        <f t="shared" si="70"/>
        <v>-0.39160124286075526</v>
      </c>
      <c r="U126" s="486">
        <f t="shared" si="70"/>
        <v>0</v>
      </c>
      <c r="V126" s="486">
        <f t="shared" si="70"/>
        <v>0</v>
      </c>
      <c r="W126" s="481">
        <f t="shared" si="74"/>
        <v>8.8370778096675551</v>
      </c>
    </row>
    <row r="127" spans="2:23" x14ac:dyDescent="0.3">
      <c r="B127" s="96">
        <f t="shared" si="75"/>
        <v>6</v>
      </c>
      <c r="C127" s="299" t="s">
        <v>254</v>
      </c>
      <c r="D127" s="481">
        <f t="shared" si="67"/>
        <v>1.6856808448182772</v>
      </c>
      <c r="E127" s="481">
        <f t="shared" si="67"/>
        <v>4.1986306106162417</v>
      </c>
      <c r="F127" s="481">
        <f t="shared" si="67"/>
        <v>0</v>
      </c>
      <c r="G127" s="481">
        <f t="shared" si="67"/>
        <v>0</v>
      </c>
      <c r="H127" s="481">
        <f t="shared" si="71"/>
        <v>5.8843114554345188</v>
      </c>
      <c r="I127" s="481">
        <f t="shared" si="68"/>
        <v>5.8843114554345188</v>
      </c>
      <c r="J127" s="481">
        <f t="shared" si="68"/>
        <v>2.8768212926738408</v>
      </c>
      <c r="K127" s="481">
        <f t="shared" si="68"/>
        <v>0</v>
      </c>
      <c r="L127" s="481">
        <f t="shared" si="68"/>
        <v>0</v>
      </c>
      <c r="M127" s="483">
        <f t="shared" si="72"/>
        <v>8.7611327481083592</v>
      </c>
      <c r="N127" s="481">
        <f t="shared" si="69"/>
        <v>8.761132748108361</v>
      </c>
      <c r="O127" s="481">
        <f t="shared" si="69"/>
        <v>45.768252214603443</v>
      </c>
      <c r="P127" s="481">
        <f t="shared" si="69"/>
        <v>0</v>
      </c>
      <c r="Q127" s="481">
        <f t="shared" si="69"/>
        <v>0</v>
      </c>
      <c r="R127" s="483">
        <f t="shared" si="73"/>
        <v>54.529384962711802</v>
      </c>
      <c r="S127" s="486">
        <f t="shared" si="70"/>
        <v>54.529384962711802</v>
      </c>
      <c r="T127" s="486">
        <f t="shared" si="70"/>
        <v>-3.2433631027298935</v>
      </c>
      <c r="U127" s="486">
        <f t="shared" si="70"/>
        <v>0</v>
      </c>
      <c r="V127" s="486">
        <f t="shared" si="70"/>
        <v>0</v>
      </c>
      <c r="W127" s="481">
        <f t="shared" si="74"/>
        <v>51.286021859981908</v>
      </c>
    </row>
    <row r="128" spans="2:23" x14ac:dyDescent="0.3">
      <c r="B128" s="96">
        <f t="shared" si="75"/>
        <v>7</v>
      </c>
      <c r="C128" s="299" t="s">
        <v>864</v>
      </c>
      <c r="D128" s="481">
        <f t="shared" si="67"/>
        <v>0.25024972009755142</v>
      </c>
      <c r="E128" s="481">
        <f t="shared" si="67"/>
        <v>5.6341964835668612E-3</v>
      </c>
      <c r="F128" s="481">
        <f t="shared" si="67"/>
        <v>0</v>
      </c>
      <c r="G128" s="481">
        <f t="shared" si="67"/>
        <v>0</v>
      </c>
      <c r="H128" s="481">
        <f t="shared" si="71"/>
        <v>0.25588391658111831</v>
      </c>
      <c r="I128" s="481">
        <f t="shared" si="68"/>
        <v>0.25588391658111831</v>
      </c>
      <c r="J128" s="481">
        <f t="shared" si="68"/>
        <v>0.41538378208356674</v>
      </c>
      <c r="K128" s="481">
        <f t="shared" si="68"/>
        <v>1.8019865084534147E-2</v>
      </c>
      <c r="L128" s="481">
        <f t="shared" si="68"/>
        <v>0</v>
      </c>
      <c r="M128" s="483">
        <f t="shared" si="72"/>
        <v>0.65324783358015093</v>
      </c>
      <c r="N128" s="481">
        <f t="shared" si="69"/>
        <v>0.65324783358015093</v>
      </c>
      <c r="O128" s="481">
        <f t="shared" si="69"/>
        <v>-0.21565443431643314</v>
      </c>
      <c r="P128" s="481">
        <f t="shared" si="69"/>
        <v>0</v>
      </c>
      <c r="Q128" s="481">
        <f t="shared" si="69"/>
        <v>0</v>
      </c>
      <c r="R128" s="483">
        <f t="shared" si="73"/>
        <v>0.43759339926371776</v>
      </c>
      <c r="S128" s="486">
        <f t="shared" si="70"/>
        <v>0.43759339926371776</v>
      </c>
      <c r="T128" s="486">
        <f t="shared" si="70"/>
        <v>-6.3557076039806537E-2</v>
      </c>
      <c r="U128" s="486">
        <f t="shared" si="70"/>
        <v>0</v>
      </c>
      <c r="V128" s="486">
        <f t="shared" si="70"/>
        <v>0</v>
      </c>
      <c r="W128" s="481">
        <f t="shared" si="74"/>
        <v>0.37403632322391123</v>
      </c>
    </row>
    <row r="129" spans="2:33" x14ac:dyDescent="0.3">
      <c r="B129" s="96">
        <f t="shared" si="75"/>
        <v>8</v>
      </c>
      <c r="C129" s="299" t="s">
        <v>865</v>
      </c>
      <c r="D129" s="481">
        <f t="shared" si="67"/>
        <v>0</v>
      </c>
      <c r="E129" s="481">
        <f t="shared" si="67"/>
        <v>0</v>
      </c>
      <c r="F129" s="481">
        <f t="shared" si="67"/>
        <v>0</v>
      </c>
      <c r="G129" s="481">
        <f t="shared" si="67"/>
        <v>0</v>
      </c>
      <c r="H129" s="481">
        <f t="shared" si="71"/>
        <v>0</v>
      </c>
      <c r="I129" s="481">
        <f t="shared" si="68"/>
        <v>0</v>
      </c>
      <c r="J129" s="481">
        <f t="shared" si="68"/>
        <v>0</v>
      </c>
      <c r="K129" s="481">
        <f t="shared" si="68"/>
        <v>0</v>
      </c>
      <c r="L129" s="481">
        <f t="shared" si="68"/>
        <v>0</v>
      </c>
      <c r="M129" s="483">
        <f t="shared" si="72"/>
        <v>0</v>
      </c>
      <c r="N129" s="481">
        <f t="shared" si="69"/>
        <v>0</v>
      </c>
      <c r="O129" s="481">
        <f t="shared" si="69"/>
        <v>0</v>
      </c>
      <c r="P129" s="481">
        <f t="shared" si="69"/>
        <v>0</v>
      </c>
      <c r="Q129" s="481">
        <f t="shared" si="69"/>
        <v>0</v>
      </c>
      <c r="R129" s="483">
        <f t="shared" si="73"/>
        <v>0</v>
      </c>
      <c r="S129" s="486">
        <f t="shared" si="70"/>
        <v>0</v>
      </c>
      <c r="T129" s="486">
        <f t="shared" si="70"/>
        <v>0</v>
      </c>
      <c r="U129" s="486">
        <f t="shared" si="70"/>
        <v>0</v>
      </c>
      <c r="V129" s="486">
        <f t="shared" si="70"/>
        <v>0</v>
      </c>
      <c r="W129" s="481">
        <f t="shared" si="74"/>
        <v>0</v>
      </c>
    </row>
    <row r="130" spans="2:33" x14ac:dyDescent="0.3">
      <c r="B130" s="96">
        <f t="shared" si="75"/>
        <v>9</v>
      </c>
      <c r="C130" s="299" t="s">
        <v>866</v>
      </c>
      <c r="D130" s="481">
        <f t="shared" si="67"/>
        <v>0.38502845487408477</v>
      </c>
      <c r="E130" s="481">
        <f t="shared" si="67"/>
        <v>-2.7484987195102662E-2</v>
      </c>
      <c r="F130" s="481">
        <f t="shared" si="67"/>
        <v>0</v>
      </c>
      <c r="G130" s="481">
        <f t="shared" si="67"/>
        <v>0</v>
      </c>
      <c r="H130" s="481">
        <f t="shared" si="71"/>
        <v>0.3575434676789821</v>
      </c>
      <c r="I130" s="481">
        <f t="shared" si="68"/>
        <v>0.35754346767898193</v>
      </c>
      <c r="J130" s="481">
        <f t="shared" si="68"/>
        <v>-1.5705706968630068E-2</v>
      </c>
      <c r="K130" s="481">
        <f t="shared" si="68"/>
        <v>0</v>
      </c>
      <c r="L130" s="481">
        <f t="shared" si="68"/>
        <v>0</v>
      </c>
      <c r="M130" s="483">
        <f t="shared" si="72"/>
        <v>0.34183776071035188</v>
      </c>
      <c r="N130" s="481">
        <f t="shared" si="69"/>
        <v>0.34183776071035199</v>
      </c>
      <c r="O130" s="481">
        <f t="shared" si="69"/>
        <v>-1.5705706968630089E-2</v>
      </c>
      <c r="P130" s="481">
        <f t="shared" si="69"/>
        <v>0</v>
      </c>
      <c r="Q130" s="481">
        <f t="shared" si="69"/>
        <v>0</v>
      </c>
      <c r="R130" s="483">
        <f t="shared" si="73"/>
        <v>0.32613205374172188</v>
      </c>
      <c r="S130" s="486">
        <f t="shared" si="70"/>
        <v>0.32613205374172205</v>
      </c>
      <c r="T130" s="486">
        <f t="shared" si="70"/>
        <v>-1.5705706968630117E-2</v>
      </c>
      <c r="U130" s="486">
        <f t="shared" si="70"/>
        <v>0</v>
      </c>
      <c r="V130" s="486">
        <f t="shared" si="70"/>
        <v>0</v>
      </c>
      <c r="W130" s="481">
        <f t="shared" si="74"/>
        <v>0.31042634677309194</v>
      </c>
    </row>
    <row r="131" spans="2:33" x14ac:dyDescent="0.3">
      <c r="B131" s="96">
        <f t="shared" si="75"/>
        <v>10</v>
      </c>
      <c r="C131" s="299" t="s">
        <v>258</v>
      </c>
      <c r="D131" s="481">
        <f t="shared" si="67"/>
        <v>0.24281111290209623</v>
      </c>
      <c r="E131" s="481">
        <f t="shared" si="67"/>
        <v>-1.9102489764270203E-2</v>
      </c>
      <c r="F131" s="481">
        <f t="shared" si="67"/>
        <v>0</v>
      </c>
      <c r="G131" s="481">
        <f t="shared" si="67"/>
        <v>0</v>
      </c>
      <c r="H131" s="481">
        <f t="shared" si="71"/>
        <v>0.22370862313782602</v>
      </c>
      <c r="I131" s="481">
        <f t="shared" si="68"/>
        <v>0.22370862313782602</v>
      </c>
      <c r="J131" s="481">
        <f t="shared" si="68"/>
        <v>-1.0915708436725831E-2</v>
      </c>
      <c r="K131" s="481">
        <f t="shared" si="68"/>
        <v>0</v>
      </c>
      <c r="L131" s="481">
        <f t="shared" si="68"/>
        <v>0</v>
      </c>
      <c r="M131" s="483">
        <f t="shared" si="72"/>
        <v>0.21279291470110021</v>
      </c>
      <c r="N131" s="481">
        <f t="shared" si="69"/>
        <v>0.21279291470110029</v>
      </c>
      <c r="O131" s="481">
        <f t="shared" si="69"/>
        <v>-1.0915708436725846E-2</v>
      </c>
      <c r="P131" s="481">
        <f t="shared" si="69"/>
        <v>0</v>
      </c>
      <c r="Q131" s="481">
        <f t="shared" si="69"/>
        <v>0</v>
      </c>
      <c r="R131" s="483">
        <f t="shared" si="73"/>
        <v>0.20187720626437444</v>
      </c>
      <c r="S131" s="486">
        <f t="shared" si="70"/>
        <v>0.20187720626437433</v>
      </c>
      <c r="T131" s="486">
        <f t="shared" si="70"/>
        <v>-1.0915708436725824E-2</v>
      </c>
      <c r="U131" s="486">
        <f t="shared" si="70"/>
        <v>0</v>
      </c>
      <c r="V131" s="486">
        <f t="shared" si="70"/>
        <v>0</v>
      </c>
      <c r="W131" s="481">
        <f t="shared" si="74"/>
        <v>0.19096149782764851</v>
      </c>
    </row>
    <row r="132" spans="2:33" x14ac:dyDescent="0.3">
      <c r="B132" s="96">
        <f t="shared" si="75"/>
        <v>11</v>
      </c>
      <c r="C132" s="299" t="s">
        <v>259</v>
      </c>
      <c r="D132" s="481">
        <f t="shared" si="67"/>
        <v>1.5426327787544454</v>
      </c>
      <c r="E132" s="481">
        <f t="shared" si="67"/>
        <v>-0.15756416901012821</v>
      </c>
      <c r="F132" s="481">
        <f t="shared" si="67"/>
        <v>-5.6049317713590611E-4</v>
      </c>
      <c r="G132" s="481">
        <f t="shared" si="67"/>
        <v>0</v>
      </c>
      <c r="H132" s="481">
        <f t="shared" si="71"/>
        <v>1.3856291029214531</v>
      </c>
      <c r="I132" s="481">
        <f t="shared" si="68"/>
        <v>1.3856291029214531</v>
      </c>
      <c r="J132" s="481">
        <f t="shared" si="68"/>
        <v>-9.4419039541378216E-2</v>
      </c>
      <c r="K132" s="481">
        <f t="shared" si="68"/>
        <v>0</v>
      </c>
      <c r="L132" s="481">
        <f t="shared" si="68"/>
        <v>0</v>
      </c>
      <c r="M132" s="483">
        <f t="shared" si="72"/>
        <v>1.2912100633800749</v>
      </c>
      <c r="N132" s="481">
        <f t="shared" si="69"/>
        <v>1.2912100633800749</v>
      </c>
      <c r="O132" s="481">
        <f t="shared" si="69"/>
        <v>-0.17809428476242822</v>
      </c>
      <c r="P132" s="481">
        <f t="shared" si="69"/>
        <v>0</v>
      </c>
      <c r="Q132" s="481">
        <f t="shared" si="69"/>
        <v>0</v>
      </c>
      <c r="R132" s="483">
        <f t="shared" si="73"/>
        <v>1.1131157786176467</v>
      </c>
      <c r="S132" s="486">
        <f t="shared" si="70"/>
        <v>1.1131157786176467</v>
      </c>
      <c r="T132" s="486">
        <f t="shared" si="70"/>
        <v>-0.16218869827568469</v>
      </c>
      <c r="U132" s="486">
        <f t="shared" si="70"/>
        <v>0</v>
      </c>
      <c r="V132" s="486">
        <f t="shared" si="70"/>
        <v>0</v>
      </c>
      <c r="W132" s="481">
        <f t="shared" si="74"/>
        <v>0.95092708034196194</v>
      </c>
    </row>
    <row r="133" spans="2:33" x14ac:dyDescent="0.3">
      <c r="B133" s="96">
        <f t="shared" si="75"/>
        <v>12</v>
      </c>
      <c r="C133" s="299" t="s">
        <v>260</v>
      </c>
      <c r="D133" s="481">
        <f t="shared" si="67"/>
        <v>1.3422096886542416</v>
      </c>
      <c r="E133" s="481">
        <f t="shared" si="67"/>
        <v>-0.15699118991313016</v>
      </c>
      <c r="F133" s="481">
        <f t="shared" si="67"/>
        <v>5.8062255519458425E-4</v>
      </c>
      <c r="G133" s="481">
        <f t="shared" si="67"/>
        <v>0</v>
      </c>
      <c r="H133" s="481">
        <f t="shared" si="71"/>
        <v>1.1846378761859169</v>
      </c>
      <c r="I133" s="481">
        <f t="shared" si="68"/>
        <v>1.1846378761859171</v>
      </c>
      <c r="J133" s="481">
        <f t="shared" si="68"/>
        <v>-7.9465740482801417E-3</v>
      </c>
      <c r="K133" s="481">
        <f t="shared" si="68"/>
        <v>0</v>
      </c>
      <c r="L133" s="481">
        <f t="shared" si="68"/>
        <v>0</v>
      </c>
      <c r="M133" s="483">
        <f t="shared" si="72"/>
        <v>1.1766913021376371</v>
      </c>
      <c r="N133" s="481">
        <f t="shared" si="69"/>
        <v>1.1766913021376371</v>
      </c>
      <c r="O133" s="481">
        <f t="shared" si="69"/>
        <v>-0.14707064229533015</v>
      </c>
      <c r="P133" s="481">
        <f t="shared" si="69"/>
        <v>0</v>
      </c>
      <c r="Q133" s="481">
        <f t="shared" si="69"/>
        <v>0</v>
      </c>
      <c r="R133" s="483">
        <f t="shared" si="73"/>
        <v>1.029620659842307</v>
      </c>
      <c r="S133" s="486">
        <f t="shared" si="70"/>
        <v>1.0296206598423068</v>
      </c>
      <c r="T133" s="486">
        <f t="shared" si="70"/>
        <v>-0.16382040853033014</v>
      </c>
      <c r="U133" s="486">
        <f t="shared" si="70"/>
        <v>0</v>
      </c>
      <c r="V133" s="486">
        <f t="shared" si="70"/>
        <v>0</v>
      </c>
      <c r="W133" s="481">
        <f t="shared" si="74"/>
        <v>0.86580025131197669</v>
      </c>
    </row>
    <row r="134" spans="2:33" x14ac:dyDescent="0.3">
      <c r="B134" s="96">
        <f t="shared" si="75"/>
        <v>13</v>
      </c>
      <c r="C134" s="497" t="s">
        <v>874</v>
      </c>
      <c r="D134" s="481">
        <f t="shared" si="67"/>
        <v>0</v>
      </c>
      <c r="E134" s="481">
        <f t="shared" si="67"/>
        <v>0</v>
      </c>
      <c r="F134" s="481">
        <f t="shared" si="67"/>
        <v>0</v>
      </c>
      <c r="G134" s="481">
        <f t="shared" si="67"/>
        <v>0</v>
      </c>
      <c r="H134" s="481">
        <f t="shared" ref="H134:H138" si="76">D134+E134-F134-G134</f>
        <v>0</v>
      </c>
      <c r="I134" s="481">
        <f t="shared" si="68"/>
        <v>0</v>
      </c>
      <c r="J134" s="481">
        <f t="shared" si="68"/>
        <v>0</v>
      </c>
      <c r="K134" s="481">
        <f t="shared" si="68"/>
        <v>0</v>
      </c>
      <c r="L134" s="481">
        <f t="shared" si="68"/>
        <v>0</v>
      </c>
      <c r="M134" s="483">
        <f t="shared" ref="M134:M138" si="77">I134+J134-K134-L134</f>
        <v>0</v>
      </c>
      <c r="N134" s="481">
        <f t="shared" si="69"/>
        <v>0</v>
      </c>
      <c r="O134" s="481">
        <f t="shared" si="69"/>
        <v>0</v>
      </c>
      <c r="P134" s="481">
        <f t="shared" si="69"/>
        <v>0</v>
      </c>
      <c r="Q134" s="481">
        <f t="shared" si="69"/>
        <v>0</v>
      </c>
      <c r="R134" s="483">
        <f t="shared" ref="R134:R138" si="78">N134+O134-P134-Q134</f>
        <v>0</v>
      </c>
      <c r="S134" s="486">
        <f t="shared" si="70"/>
        <v>0</v>
      </c>
      <c r="T134" s="486">
        <f t="shared" si="70"/>
        <v>0</v>
      </c>
      <c r="U134" s="486">
        <f t="shared" si="70"/>
        <v>0</v>
      </c>
      <c r="V134" s="486">
        <f t="shared" si="70"/>
        <v>0</v>
      </c>
      <c r="W134" s="481">
        <f t="shared" ref="W134:W138" si="79">S134+T134-U134-V134</f>
        <v>0</v>
      </c>
    </row>
    <row r="135" spans="2:33" x14ac:dyDescent="0.3">
      <c r="B135" s="96">
        <f t="shared" si="75"/>
        <v>14</v>
      </c>
      <c r="C135" s="497" t="s">
        <v>875</v>
      </c>
      <c r="D135" s="481">
        <f t="shared" si="67"/>
        <v>0</v>
      </c>
      <c r="E135" s="481">
        <f t="shared" si="67"/>
        <v>0</v>
      </c>
      <c r="F135" s="481">
        <f t="shared" si="67"/>
        <v>0</v>
      </c>
      <c r="G135" s="481">
        <f t="shared" si="67"/>
        <v>0</v>
      </c>
      <c r="H135" s="481">
        <f t="shared" si="76"/>
        <v>0</v>
      </c>
      <c r="I135" s="481">
        <f t="shared" si="68"/>
        <v>0</v>
      </c>
      <c r="J135" s="481">
        <f t="shared" si="68"/>
        <v>0</v>
      </c>
      <c r="K135" s="481">
        <f t="shared" si="68"/>
        <v>0</v>
      </c>
      <c r="L135" s="481">
        <f t="shared" si="68"/>
        <v>0</v>
      </c>
      <c r="M135" s="483">
        <f t="shared" si="77"/>
        <v>0</v>
      </c>
      <c r="N135" s="481">
        <f t="shared" si="69"/>
        <v>0</v>
      </c>
      <c r="O135" s="481">
        <f t="shared" si="69"/>
        <v>0</v>
      </c>
      <c r="P135" s="481">
        <f t="shared" si="69"/>
        <v>0</v>
      </c>
      <c r="Q135" s="481">
        <f t="shared" si="69"/>
        <v>0</v>
      </c>
      <c r="R135" s="483">
        <f t="shared" si="78"/>
        <v>0</v>
      </c>
      <c r="S135" s="486">
        <f t="shared" si="70"/>
        <v>0</v>
      </c>
      <c r="T135" s="486">
        <f t="shared" si="70"/>
        <v>0</v>
      </c>
      <c r="U135" s="486">
        <f t="shared" si="70"/>
        <v>0</v>
      </c>
      <c r="V135" s="486">
        <f t="shared" si="70"/>
        <v>0</v>
      </c>
      <c r="W135" s="481">
        <f t="shared" si="79"/>
        <v>0</v>
      </c>
    </row>
    <row r="136" spans="2:33" x14ac:dyDescent="0.3">
      <c r="B136" s="96">
        <f t="shared" si="75"/>
        <v>15</v>
      </c>
      <c r="C136" s="497" t="s">
        <v>876</v>
      </c>
      <c r="D136" s="481">
        <f t="shared" si="67"/>
        <v>0</v>
      </c>
      <c r="E136" s="481">
        <f t="shared" si="67"/>
        <v>0</v>
      </c>
      <c r="F136" s="481">
        <f t="shared" si="67"/>
        <v>0</v>
      </c>
      <c r="G136" s="481">
        <f t="shared" si="67"/>
        <v>0</v>
      </c>
      <c r="H136" s="481">
        <f t="shared" si="76"/>
        <v>0</v>
      </c>
      <c r="I136" s="481">
        <f t="shared" si="68"/>
        <v>0</v>
      </c>
      <c r="J136" s="481">
        <f t="shared" si="68"/>
        <v>0</v>
      </c>
      <c r="K136" s="481">
        <f t="shared" si="68"/>
        <v>0</v>
      </c>
      <c r="L136" s="481">
        <f t="shared" si="68"/>
        <v>0</v>
      </c>
      <c r="M136" s="483">
        <f t="shared" si="77"/>
        <v>0</v>
      </c>
      <c r="N136" s="481">
        <f t="shared" si="69"/>
        <v>0</v>
      </c>
      <c r="O136" s="481">
        <f t="shared" si="69"/>
        <v>0</v>
      </c>
      <c r="P136" s="481">
        <f t="shared" si="69"/>
        <v>0</v>
      </c>
      <c r="Q136" s="481">
        <f t="shared" si="69"/>
        <v>0</v>
      </c>
      <c r="R136" s="483">
        <f t="shared" si="78"/>
        <v>0</v>
      </c>
      <c r="S136" s="486">
        <f t="shared" si="70"/>
        <v>0</v>
      </c>
      <c r="T136" s="486">
        <f t="shared" si="70"/>
        <v>0</v>
      </c>
      <c r="U136" s="486">
        <f t="shared" si="70"/>
        <v>0</v>
      </c>
      <c r="V136" s="486">
        <f t="shared" si="70"/>
        <v>0</v>
      </c>
      <c r="W136" s="481">
        <f t="shared" si="79"/>
        <v>0</v>
      </c>
    </row>
    <row r="137" spans="2:33" x14ac:dyDescent="0.3">
      <c r="B137" s="96">
        <f t="shared" si="75"/>
        <v>16</v>
      </c>
      <c r="C137" s="497" t="s">
        <v>867</v>
      </c>
      <c r="D137" s="481">
        <f t="shared" si="67"/>
        <v>0.14240192783512184</v>
      </c>
      <c r="E137" s="481">
        <f t="shared" si="67"/>
        <v>-2.8480385567024369E-2</v>
      </c>
      <c r="F137" s="481">
        <f t="shared" si="67"/>
        <v>0</v>
      </c>
      <c r="G137" s="481">
        <f t="shared" si="67"/>
        <v>0</v>
      </c>
      <c r="H137" s="481">
        <f t="shared" si="76"/>
        <v>0.11392154226809748</v>
      </c>
      <c r="I137" s="481">
        <f t="shared" si="68"/>
        <v>0.11392154226809748</v>
      </c>
      <c r="J137" s="481">
        <f t="shared" si="68"/>
        <v>-1.6274506038299639E-2</v>
      </c>
      <c r="K137" s="481">
        <f t="shared" si="68"/>
        <v>0</v>
      </c>
      <c r="L137" s="481">
        <f t="shared" si="68"/>
        <v>0</v>
      </c>
      <c r="M137" s="483">
        <f t="shared" si="77"/>
        <v>9.764703622979784E-2</v>
      </c>
      <c r="N137" s="481">
        <f t="shared" si="69"/>
        <v>9.7647036229797868E-2</v>
      </c>
      <c r="O137" s="481">
        <f t="shared" si="69"/>
        <v>-1.6274506038299646E-2</v>
      </c>
      <c r="P137" s="481">
        <f t="shared" si="69"/>
        <v>0</v>
      </c>
      <c r="Q137" s="481">
        <f t="shared" si="69"/>
        <v>0</v>
      </c>
      <c r="R137" s="483">
        <f t="shared" si="78"/>
        <v>8.1372530191498219E-2</v>
      </c>
      <c r="S137" s="486">
        <f t="shared" si="70"/>
        <v>8.137253019149826E-2</v>
      </c>
      <c r="T137" s="486">
        <f t="shared" si="70"/>
        <v>-1.6274506038299653E-2</v>
      </c>
      <c r="U137" s="486">
        <f t="shared" si="70"/>
        <v>0</v>
      </c>
      <c r="V137" s="486">
        <f t="shared" si="70"/>
        <v>0</v>
      </c>
      <c r="W137" s="481">
        <f t="shared" si="79"/>
        <v>6.5098024153198611E-2</v>
      </c>
    </row>
    <row r="138" spans="2:33" x14ac:dyDescent="0.3">
      <c r="B138" s="96">
        <f t="shared" si="75"/>
        <v>17</v>
      </c>
      <c r="C138" s="497" t="s">
        <v>877</v>
      </c>
      <c r="D138" s="481">
        <f t="shared" si="67"/>
        <v>-5.6340226071562869</v>
      </c>
      <c r="E138" s="481">
        <f t="shared" si="67"/>
        <v>4.0077621739999998</v>
      </c>
      <c r="F138" s="481">
        <f t="shared" si="67"/>
        <v>0</v>
      </c>
      <c r="G138" s="481">
        <f t="shared" si="67"/>
        <v>0</v>
      </c>
      <c r="H138" s="481">
        <f t="shared" si="76"/>
        <v>-1.6262604331562871</v>
      </c>
      <c r="I138" s="481">
        <f t="shared" si="68"/>
        <v>-1.6262604331562871</v>
      </c>
      <c r="J138" s="481">
        <f t="shared" si="68"/>
        <v>0</v>
      </c>
      <c r="K138" s="481">
        <f t="shared" si="68"/>
        <v>0</v>
      </c>
      <c r="L138" s="481">
        <f t="shared" si="68"/>
        <v>0</v>
      </c>
      <c r="M138" s="483">
        <f t="shared" si="77"/>
        <v>-1.6262604331562871</v>
      </c>
      <c r="N138" s="481">
        <f t="shared" si="69"/>
        <v>-1.6262604331562871</v>
      </c>
      <c r="O138" s="481">
        <f t="shared" si="69"/>
        <v>0</v>
      </c>
      <c r="P138" s="481">
        <f t="shared" si="69"/>
        <v>0</v>
      </c>
      <c r="Q138" s="481">
        <f t="shared" si="69"/>
        <v>0</v>
      </c>
      <c r="R138" s="483">
        <f t="shared" si="78"/>
        <v>-1.6262604331562871</v>
      </c>
      <c r="S138" s="486">
        <f t="shared" si="70"/>
        <v>-1.6262604331562871</v>
      </c>
      <c r="T138" s="486">
        <f t="shared" si="70"/>
        <v>0</v>
      </c>
      <c r="U138" s="486">
        <f t="shared" si="70"/>
        <v>0</v>
      </c>
      <c r="V138" s="486">
        <f t="shared" si="70"/>
        <v>0</v>
      </c>
      <c r="W138" s="481">
        <f t="shared" si="79"/>
        <v>-1.6262604331562871</v>
      </c>
    </row>
    <row r="139" spans="2:33" ht="16" x14ac:dyDescent="0.3">
      <c r="B139" s="84"/>
      <c r="C139" s="99" t="s">
        <v>271</v>
      </c>
      <c r="D139" s="485">
        <f>SUM(D122:D138)</f>
        <v>11.689268109837272</v>
      </c>
      <c r="E139" s="485">
        <f t="shared" ref="E139:R139" si="80">SUM(E122:E138)</f>
        <v>11.353524685627342</v>
      </c>
      <c r="F139" s="485">
        <f t="shared" si="80"/>
        <v>2.2352602656618226</v>
      </c>
      <c r="G139" s="485">
        <f t="shared" si="80"/>
        <v>0</v>
      </c>
      <c r="H139" s="485">
        <f t="shared" si="80"/>
        <v>20.807532529802796</v>
      </c>
      <c r="I139" s="485">
        <f t="shared" si="80"/>
        <v>20.807532529802796</v>
      </c>
      <c r="J139" s="485">
        <f t="shared" si="80"/>
        <v>5.443427902991294</v>
      </c>
      <c r="K139" s="485">
        <f t="shared" si="80"/>
        <v>0.27596374996161943</v>
      </c>
      <c r="L139" s="485">
        <f t="shared" si="80"/>
        <v>0</v>
      </c>
      <c r="M139" s="485">
        <f t="shared" si="80"/>
        <v>25.974996682832465</v>
      </c>
      <c r="N139" s="485">
        <f t="shared" si="80"/>
        <v>25.974996682832465</v>
      </c>
      <c r="O139" s="485">
        <f t="shared" si="80"/>
        <v>44.429081697468185</v>
      </c>
      <c r="P139" s="485">
        <f t="shared" si="80"/>
        <v>0</v>
      </c>
      <c r="Q139" s="485">
        <f t="shared" si="80"/>
        <v>0</v>
      </c>
      <c r="R139" s="485">
        <f t="shared" si="80"/>
        <v>70.404078380300646</v>
      </c>
      <c r="S139" s="485">
        <f>SUM(S122:S138)</f>
        <v>70.404078380300646</v>
      </c>
      <c r="T139" s="485">
        <f>SUM(T122:T138)</f>
        <v>-4.431280441336769</v>
      </c>
      <c r="U139" s="485">
        <f>SUM(U122:U138)</f>
        <v>0</v>
      </c>
      <c r="V139" s="485">
        <f>SUM(V122:V138)</f>
        <v>0</v>
      </c>
      <c r="W139" s="485">
        <f>SUM(W122:W138)</f>
        <v>65.972797938963879</v>
      </c>
    </row>
    <row r="140" spans="2:33" ht="16" x14ac:dyDescent="0.3">
      <c r="B140" s="302"/>
      <c r="C140" s="304"/>
      <c r="D140" s="304"/>
      <c r="E140" s="304"/>
      <c r="F140" s="304"/>
      <c r="G140" s="304"/>
      <c r="H140" s="304"/>
      <c r="I140" s="302"/>
      <c r="J140" s="302"/>
      <c r="K140" s="302"/>
      <c r="L140" s="302"/>
      <c r="M140" s="302"/>
      <c r="N140" s="302"/>
      <c r="O140" s="302"/>
      <c r="P140" s="302"/>
      <c r="Q140" s="302"/>
      <c r="R140" s="302"/>
      <c r="S140" s="43"/>
      <c r="T140" s="43"/>
      <c r="U140" s="43"/>
      <c r="V140" s="43"/>
      <c r="W140" s="43"/>
      <c r="X140" s="43"/>
      <c r="Y140" s="43"/>
      <c r="Z140" s="43"/>
      <c r="AA140" s="43"/>
      <c r="AB140" s="43"/>
      <c r="AC140" s="43"/>
      <c r="AD140" s="43"/>
      <c r="AE140" s="43"/>
      <c r="AF140" s="43"/>
      <c r="AG140" s="43"/>
    </row>
    <row r="141" spans="2:33" ht="16" x14ac:dyDescent="0.3">
      <c r="B141" s="605" t="s">
        <v>614</v>
      </c>
      <c r="C141" s="305"/>
      <c r="D141" s="305"/>
      <c r="E141" s="305"/>
      <c r="F141" s="305"/>
      <c r="G141" s="304"/>
      <c r="H141" s="304"/>
      <c r="I141" s="302"/>
      <c r="J141" s="302"/>
      <c r="K141" s="302"/>
      <c r="L141" s="302"/>
      <c r="M141" s="302"/>
      <c r="N141" s="302"/>
      <c r="O141" s="302"/>
      <c r="P141" s="302"/>
      <c r="Q141" s="302"/>
      <c r="R141" s="302"/>
      <c r="S141" s="43"/>
      <c r="T141" s="43"/>
      <c r="U141" s="43"/>
      <c r="V141" s="43"/>
      <c r="W141" s="43"/>
      <c r="X141" s="43"/>
      <c r="Y141" s="43"/>
      <c r="Z141" s="43"/>
      <c r="AA141" s="43"/>
      <c r="AB141" s="43"/>
      <c r="AC141" s="43"/>
      <c r="AD141" s="43"/>
      <c r="AE141" s="43"/>
      <c r="AF141" s="43"/>
      <c r="AG141" s="43"/>
    </row>
    <row r="142" spans="2:33" ht="16" x14ac:dyDescent="0.3">
      <c r="B142" s="302"/>
      <c r="C142" s="304"/>
      <c r="D142" s="304"/>
      <c r="E142" s="304"/>
      <c r="F142" s="304"/>
      <c r="G142" s="304"/>
      <c r="H142" s="304"/>
      <c r="I142" s="302"/>
      <c r="J142" s="302"/>
      <c r="K142" s="302"/>
      <c r="L142" s="302"/>
      <c r="M142" s="302"/>
      <c r="N142" s="302"/>
      <c r="O142" s="302"/>
      <c r="P142" s="302"/>
      <c r="Q142" s="302"/>
      <c r="R142" s="302"/>
      <c r="S142" s="43"/>
      <c r="T142" s="43"/>
      <c r="U142" s="43"/>
      <c r="V142" s="43"/>
      <c r="W142" s="43"/>
      <c r="X142" s="43"/>
      <c r="Y142" s="43"/>
      <c r="Z142" s="43"/>
      <c r="AA142" s="43"/>
      <c r="AB142" s="43"/>
      <c r="AC142" s="43"/>
      <c r="AD142" s="43"/>
      <c r="AE142" s="43"/>
      <c r="AF142" s="43"/>
      <c r="AG142" s="43"/>
    </row>
    <row r="143" spans="2:33" ht="15" customHeight="1" x14ac:dyDescent="0.3">
      <c r="B143" s="302"/>
      <c r="C143" s="304"/>
      <c r="D143" s="8"/>
      <c r="E143" s="8"/>
      <c r="F143" s="8"/>
      <c r="G143" s="8"/>
      <c r="H143" s="8"/>
      <c r="I143" s="1"/>
      <c r="J143" s="42"/>
      <c r="K143" s="1"/>
      <c r="L143" s="1"/>
      <c r="M143" s="42"/>
      <c r="N143" s="42"/>
      <c r="O143" s="1"/>
      <c r="P143" s="1"/>
      <c r="Q143" s="1"/>
      <c r="R143" s="297" t="s">
        <v>10</v>
      </c>
    </row>
    <row r="144" spans="2:33" x14ac:dyDescent="0.3">
      <c r="B144" s="1521" t="s">
        <v>343</v>
      </c>
      <c r="C144" s="1521" t="s">
        <v>37</v>
      </c>
      <c r="D144" s="1656" t="s">
        <v>941</v>
      </c>
      <c r="E144" s="1657"/>
      <c r="F144" s="1657"/>
      <c r="G144" s="1657"/>
      <c r="H144" s="1658"/>
      <c r="I144" s="1656" t="s">
        <v>945</v>
      </c>
      <c r="J144" s="1657"/>
      <c r="K144" s="1657"/>
      <c r="L144" s="1657"/>
      <c r="M144" s="1658"/>
      <c r="N144" s="1656" t="s">
        <v>942</v>
      </c>
      <c r="O144" s="1657"/>
      <c r="P144" s="1657"/>
      <c r="Q144" s="1657"/>
      <c r="R144" s="1658"/>
      <c r="S144" s="1656" t="s">
        <v>944</v>
      </c>
      <c r="T144" s="1657"/>
      <c r="U144" s="1657"/>
      <c r="V144" s="1657"/>
      <c r="W144" s="1658"/>
    </row>
    <row r="145" spans="2:23" x14ac:dyDescent="0.3">
      <c r="B145" s="1521"/>
      <c r="C145" s="1521"/>
      <c r="D145" s="1649" t="s">
        <v>21</v>
      </c>
      <c r="E145" s="1650"/>
      <c r="F145" s="1650"/>
      <c r="G145" s="1650"/>
      <c r="H145" s="1651"/>
      <c r="I145" s="1649" t="s">
        <v>21</v>
      </c>
      <c r="J145" s="1650"/>
      <c r="K145" s="1650"/>
      <c r="L145" s="1650"/>
      <c r="M145" s="1651"/>
      <c r="N145" s="1649" t="s">
        <v>21</v>
      </c>
      <c r="O145" s="1650"/>
      <c r="P145" s="1650"/>
      <c r="Q145" s="1650"/>
      <c r="R145" s="1651"/>
      <c r="S145" s="1652" t="s">
        <v>21</v>
      </c>
      <c r="T145" s="1653"/>
      <c r="U145" s="1653"/>
      <c r="V145" s="1653"/>
      <c r="W145" s="1653"/>
    </row>
    <row r="146" spans="2:23" ht="42" x14ac:dyDescent="0.3">
      <c r="B146" s="1521"/>
      <c r="C146" s="1521"/>
      <c r="D146" s="653" t="s">
        <v>267</v>
      </c>
      <c r="E146" s="653" t="s">
        <v>268</v>
      </c>
      <c r="F146" s="303" t="s">
        <v>274</v>
      </c>
      <c r="G146" s="645" t="s">
        <v>601</v>
      </c>
      <c r="H146" s="653" t="s">
        <v>270</v>
      </c>
      <c r="I146" s="653" t="s">
        <v>267</v>
      </c>
      <c r="J146" s="653" t="s">
        <v>268</v>
      </c>
      <c r="K146" s="303" t="s">
        <v>274</v>
      </c>
      <c r="L146" s="645" t="s">
        <v>601</v>
      </c>
      <c r="M146" s="653" t="s">
        <v>270</v>
      </c>
      <c r="N146" s="653" t="s">
        <v>267</v>
      </c>
      <c r="O146" s="653" t="s">
        <v>268</v>
      </c>
      <c r="P146" s="303" t="s">
        <v>274</v>
      </c>
      <c r="Q146" s="645" t="s">
        <v>601</v>
      </c>
      <c r="R146" s="653" t="s">
        <v>270</v>
      </c>
      <c r="S146" s="594" t="s">
        <v>267</v>
      </c>
      <c r="T146" s="594" t="s">
        <v>268</v>
      </c>
      <c r="U146" s="303" t="s">
        <v>274</v>
      </c>
      <c r="V146" s="592" t="s">
        <v>601</v>
      </c>
      <c r="W146" s="594" t="s">
        <v>270</v>
      </c>
    </row>
    <row r="147" spans="2:23" ht="28" x14ac:dyDescent="0.3">
      <c r="B147" s="298"/>
      <c r="C147" s="298"/>
      <c r="D147" s="298" t="s">
        <v>675</v>
      </c>
      <c r="E147" s="298" t="s">
        <v>676</v>
      </c>
      <c r="F147" s="298" t="s">
        <v>677</v>
      </c>
      <c r="G147" s="298" t="s">
        <v>678</v>
      </c>
      <c r="H147" s="298" t="s">
        <v>679</v>
      </c>
      <c r="I147" s="298" t="s">
        <v>680</v>
      </c>
      <c r="J147" s="298" t="s">
        <v>681</v>
      </c>
      <c r="K147" s="298" t="s">
        <v>682</v>
      </c>
      <c r="L147" s="298" t="s">
        <v>683</v>
      </c>
      <c r="M147" s="298" t="s">
        <v>684</v>
      </c>
      <c r="N147" s="298" t="s">
        <v>955</v>
      </c>
      <c r="O147" s="298" t="s">
        <v>956</v>
      </c>
      <c r="P147" s="298" t="s">
        <v>957</v>
      </c>
      <c r="Q147" s="298" t="s">
        <v>958</v>
      </c>
      <c r="R147" s="298" t="s">
        <v>959</v>
      </c>
      <c r="S147" s="298" t="s">
        <v>960</v>
      </c>
      <c r="T147" s="298" t="s">
        <v>961</v>
      </c>
      <c r="U147" s="298" t="s">
        <v>962</v>
      </c>
      <c r="V147" s="298" t="s">
        <v>963</v>
      </c>
      <c r="W147" s="298" t="s">
        <v>964</v>
      </c>
    </row>
    <row r="148" spans="2:23" x14ac:dyDescent="0.3">
      <c r="B148" s="96">
        <v>1</v>
      </c>
      <c r="C148" s="299" t="s">
        <v>860</v>
      </c>
      <c r="D148" s="486">
        <f t="shared" ref="D148:G164" si="81">D40-D95</f>
        <v>3.6840629179811686E-2</v>
      </c>
      <c r="E148" s="486">
        <f t="shared" si="81"/>
        <v>0</v>
      </c>
      <c r="F148" s="486">
        <f t="shared" si="81"/>
        <v>0</v>
      </c>
      <c r="G148" s="486">
        <f t="shared" si="81"/>
        <v>0</v>
      </c>
      <c r="H148" s="483">
        <f>D148+E148-F148-G148</f>
        <v>3.6840629179811686E-2</v>
      </c>
      <c r="I148" s="486">
        <f t="shared" ref="I148:L164" si="82">I40-I95</f>
        <v>3.6840629179811686E-2</v>
      </c>
      <c r="J148" s="486">
        <f t="shared" si="82"/>
        <v>0</v>
      </c>
      <c r="K148" s="486">
        <f t="shared" si="82"/>
        <v>0</v>
      </c>
      <c r="L148" s="486">
        <f t="shared" si="82"/>
        <v>0</v>
      </c>
      <c r="M148" s="483">
        <f>I148+J148-K148-L148</f>
        <v>3.6840629179811686E-2</v>
      </c>
      <c r="N148" s="486">
        <f t="shared" ref="N148:Q164" si="83">N40-N95</f>
        <v>3.6840629179811686E-2</v>
      </c>
      <c r="O148" s="486">
        <f t="shared" si="83"/>
        <v>0</v>
      </c>
      <c r="P148" s="486">
        <f t="shared" si="83"/>
        <v>0</v>
      </c>
      <c r="Q148" s="486">
        <f t="shared" si="83"/>
        <v>0</v>
      </c>
      <c r="R148" s="483">
        <f>N148+O148-P148-Q148</f>
        <v>3.6840629179811686E-2</v>
      </c>
      <c r="S148" s="486">
        <f t="shared" ref="S148:V164" si="84">S40-S95</f>
        <v>3.6840629179811686E-2</v>
      </c>
      <c r="T148" s="486">
        <f t="shared" si="84"/>
        <v>0</v>
      </c>
      <c r="U148" s="486">
        <f t="shared" si="84"/>
        <v>0</v>
      </c>
      <c r="V148" s="486">
        <f t="shared" si="84"/>
        <v>0</v>
      </c>
      <c r="W148" s="483">
        <f>S148+T148-U148-V148</f>
        <v>3.6840629179811686E-2</v>
      </c>
    </row>
    <row r="149" spans="2:23" x14ac:dyDescent="0.3">
      <c r="B149" s="96">
        <f>B148+1</f>
        <v>2</v>
      </c>
      <c r="C149" s="299" t="s">
        <v>255</v>
      </c>
      <c r="D149" s="486">
        <f t="shared" si="81"/>
        <v>4.5308616465053779</v>
      </c>
      <c r="E149" s="486">
        <f t="shared" si="81"/>
        <v>-0.3519196524960958</v>
      </c>
      <c r="F149" s="486">
        <f t="shared" si="81"/>
        <v>0</v>
      </c>
      <c r="G149" s="486">
        <f t="shared" si="81"/>
        <v>0</v>
      </c>
      <c r="H149" s="483">
        <f t="shared" ref="H149:H159" si="85">D149+E149-F149-G149</f>
        <v>4.178941994009282</v>
      </c>
      <c r="I149" s="486">
        <f t="shared" si="82"/>
        <v>4.178941994009282</v>
      </c>
      <c r="J149" s="486">
        <f t="shared" si="82"/>
        <v>-0.3519196524960958</v>
      </c>
      <c r="K149" s="486">
        <f t="shared" si="82"/>
        <v>0</v>
      </c>
      <c r="L149" s="486">
        <f t="shared" si="82"/>
        <v>0</v>
      </c>
      <c r="M149" s="483">
        <f t="shared" ref="M149:M159" si="86">I149+J149-K149-L149</f>
        <v>3.8270223415131861</v>
      </c>
      <c r="N149" s="486">
        <f t="shared" si="83"/>
        <v>3.8270223415131861</v>
      </c>
      <c r="O149" s="486">
        <f t="shared" si="83"/>
        <v>-1.3866853436666298</v>
      </c>
      <c r="P149" s="486">
        <f t="shared" si="83"/>
        <v>0</v>
      </c>
      <c r="Q149" s="486">
        <f t="shared" si="83"/>
        <v>0</v>
      </c>
      <c r="R149" s="483">
        <f t="shared" ref="R149:R164" si="87">N149+O149-P149-Q149</f>
        <v>2.4403369978465563</v>
      </c>
      <c r="S149" s="486">
        <f t="shared" si="84"/>
        <v>2.4403369978465559</v>
      </c>
      <c r="T149" s="486">
        <f t="shared" si="84"/>
        <v>-1.3866853436666293</v>
      </c>
      <c r="U149" s="486">
        <f t="shared" si="84"/>
        <v>0</v>
      </c>
      <c r="V149" s="486">
        <f t="shared" si="84"/>
        <v>0</v>
      </c>
      <c r="W149" s="483">
        <f t="shared" ref="W149:W164" si="88">S149+T149-U149-V149</f>
        <v>1.0536516541799266</v>
      </c>
    </row>
    <row r="150" spans="2:23" ht="28" x14ac:dyDescent="0.3">
      <c r="B150" s="96">
        <f t="shared" ref="B150:B164" si="89">B149+1</f>
        <v>3</v>
      </c>
      <c r="C150" s="300" t="s">
        <v>861</v>
      </c>
      <c r="D150" s="486">
        <f t="shared" si="81"/>
        <v>0</v>
      </c>
      <c r="E150" s="486">
        <f t="shared" si="81"/>
        <v>0</v>
      </c>
      <c r="F150" s="486">
        <f t="shared" si="81"/>
        <v>0</v>
      </c>
      <c r="G150" s="486">
        <f t="shared" si="81"/>
        <v>0</v>
      </c>
      <c r="H150" s="483">
        <f t="shared" si="85"/>
        <v>0</v>
      </c>
      <c r="I150" s="486">
        <f t="shared" si="82"/>
        <v>0</v>
      </c>
      <c r="J150" s="486">
        <f t="shared" si="82"/>
        <v>0</v>
      </c>
      <c r="K150" s="486">
        <f t="shared" si="82"/>
        <v>0</v>
      </c>
      <c r="L150" s="486">
        <f t="shared" si="82"/>
        <v>0</v>
      </c>
      <c r="M150" s="483">
        <f t="shared" si="86"/>
        <v>0</v>
      </c>
      <c r="N150" s="486">
        <f t="shared" si="83"/>
        <v>0</v>
      </c>
      <c r="O150" s="486">
        <f t="shared" si="83"/>
        <v>0</v>
      </c>
      <c r="P150" s="486">
        <f t="shared" si="83"/>
        <v>0</v>
      </c>
      <c r="Q150" s="486">
        <f t="shared" si="83"/>
        <v>0</v>
      </c>
      <c r="R150" s="483">
        <f t="shared" si="87"/>
        <v>0</v>
      </c>
      <c r="S150" s="486">
        <f t="shared" si="84"/>
        <v>0</v>
      </c>
      <c r="T150" s="486">
        <f t="shared" si="84"/>
        <v>0</v>
      </c>
      <c r="U150" s="486">
        <f t="shared" si="84"/>
        <v>0</v>
      </c>
      <c r="V150" s="486">
        <f t="shared" si="84"/>
        <v>0</v>
      </c>
      <c r="W150" s="483">
        <f t="shared" si="88"/>
        <v>0</v>
      </c>
    </row>
    <row r="151" spans="2:23" x14ac:dyDescent="0.3">
      <c r="B151" s="96">
        <f t="shared" si="89"/>
        <v>4</v>
      </c>
      <c r="C151" s="300" t="s">
        <v>862</v>
      </c>
      <c r="D151" s="486">
        <f t="shared" si="81"/>
        <v>0.15100690315373633</v>
      </c>
      <c r="E151" s="486">
        <f t="shared" si="81"/>
        <v>-1.1934338960548019E-2</v>
      </c>
      <c r="F151" s="486">
        <f t="shared" si="81"/>
        <v>0</v>
      </c>
      <c r="G151" s="486">
        <f t="shared" si="81"/>
        <v>0</v>
      </c>
      <c r="H151" s="483">
        <f t="shared" si="85"/>
        <v>0.13907256419318831</v>
      </c>
      <c r="I151" s="486">
        <f t="shared" si="82"/>
        <v>0.13907256419318825</v>
      </c>
      <c r="J151" s="486">
        <f t="shared" si="82"/>
        <v>-1.1934338960548E-2</v>
      </c>
      <c r="K151" s="486">
        <f t="shared" si="82"/>
        <v>0</v>
      </c>
      <c r="L151" s="486">
        <f t="shared" si="82"/>
        <v>0</v>
      </c>
      <c r="M151" s="483">
        <f t="shared" si="86"/>
        <v>0.12713822523264026</v>
      </c>
      <c r="N151" s="486">
        <f t="shared" si="83"/>
        <v>0.12713822523264029</v>
      </c>
      <c r="O151" s="486">
        <f t="shared" si="83"/>
        <v>-1.1934338960548019E-2</v>
      </c>
      <c r="P151" s="486">
        <f t="shared" si="83"/>
        <v>0</v>
      </c>
      <c r="Q151" s="486">
        <f t="shared" si="83"/>
        <v>0</v>
      </c>
      <c r="R151" s="483">
        <f t="shared" si="87"/>
        <v>0.11520388627209227</v>
      </c>
      <c r="S151" s="486">
        <f t="shared" si="84"/>
        <v>0.11520388627209233</v>
      </c>
      <c r="T151" s="486">
        <f t="shared" si="84"/>
        <v>-1.1934338960548074E-2</v>
      </c>
      <c r="U151" s="486">
        <f t="shared" si="84"/>
        <v>0</v>
      </c>
      <c r="V151" s="486">
        <f t="shared" si="84"/>
        <v>0</v>
      </c>
      <c r="W151" s="483">
        <f t="shared" si="88"/>
        <v>0.10326954731154425</v>
      </c>
    </row>
    <row r="152" spans="2:23" x14ac:dyDescent="0.3">
      <c r="B152" s="96">
        <f t="shared" si="89"/>
        <v>5</v>
      </c>
      <c r="C152" s="300" t="s">
        <v>863</v>
      </c>
      <c r="D152" s="486">
        <f t="shared" si="81"/>
        <v>8.8370778096675551</v>
      </c>
      <c r="E152" s="486">
        <f t="shared" si="81"/>
        <v>-0.39160124286075526</v>
      </c>
      <c r="F152" s="486">
        <f t="shared" si="81"/>
        <v>0</v>
      </c>
      <c r="G152" s="486">
        <f t="shared" si="81"/>
        <v>0</v>
      </c>
      <c r="H152" s="483">
        <f t="shared" si="85"/>
        <v>8.4454765668067999</v>
      </c>
      <c r="I152" s="486">
        <f t="shared" si="82"/>
        <v>8.4454765668067999</v>
      </c>
      <c r="J152" s="486">
        <f t="shared" si="82"/>
        <v>-0.39160124286075526</v>
      </c>
      <c r="K152" s="486">
        <f t="shared" si="82"/>
        <v>0</v>
      </c>
      <c r="L152" s="486">
        <f t="shared" si="82"/>
        <v>0</v>
      </c>
      <c r="M152" s="483">
        <f t="shared" si="86"/>
        <v>8.0538753239460448</v>
      </c>
      <c r="N152" s="486">
        <f t="shared" si="83"/>
        <v>8.0538753239460448</v>
      </c>
      <c r="O152" s="486">
        <f t="shared" si="83"/>
        <v>1.9027654238059111</v>
      </c>
      <c r="P152" s="486">
        <f t="shared" si="83"/>
        <v>0</v>
      </c>
      <c r="Q152" s="486">
        <f t="shared" si="83"/>
        <v>0</v>
      </c>
      <c r="R152" s="483">
        <f t="shared" si="87"/>
        <v>9.9566407477519565</v>
      </c>
      <c r="S152" s="486">
        <f t="shared" si="84"/>
        <v>9.9566407477519565</v>
      </c>
      <c r="T152" s="486">
        <f t="shared" si="84"/>
        <v>-0.46953457619408862</v>
      </c>
      <c r="U152" s="486">
        <f t="shared" si="84"/>
        <v>0</v>
      </c>
      <c r="V152" s="486">
        <f t="shared" si="84"/>
        <v>0</v>
      </c>
      <c r="W152" s="483">
        <f t="shared" si="88"/>
        <v>9.4871061715578673</v>
      </c>
    </row>
    <row r="153" spans="2:23" x14ac:dyDescent="0.3">
      <c r="B153" s="96">
        <f t="shared" si="89"/>
        <v>6</v>
      </c>
      <c r="C153" s="299" t="s">
        <v>254</v>
      </c>
      <c r="D153" s="486">
        <f t="shared" si="81"/>
        <v>51.286021859981901</v>
      </c>
      <c r="E153" s="486">
        <f t="shared" si="81"/>
        <v>-3.4088872093965596</v>
      </c>
      <c r="F153" s="486">
        <f t="shared" si="81"/>
        <v>0</v>
      </c>
      <c r="G153" s="486">
        <f t="shared" si="81"/>
        <v>0</v>
      </c>
      <c r="H153" s="483">
        <f t="shared" si="85"/>
        <v>47.87713465058534</v>
      </c>
      <c r="I153" s="486">
        <f t="shared" si="82"/>
        <v>47.877134650585347</v>
      </c>
      <c r="J153" s="486">
        <f t="shared" si="82"/>
        <v>-3.4088872093965596</v>
      </c>
      <c r="K153" s="486">
        <f t="shared" si="82"/>
        <v>0</v>
      </c>
      <c r="L153" s="486">
        <f t="shared" si="82"/>
        <v>0</v>
      </c>
      <c r="M153" s="483">
        <f t="shared" si="86"/>
        <v>44.468247441188787</v>
      </c>
      <c r="N153" s="486">
        <f t="shared" si="83"/>
        <v>44.46824744118878</v>
      </c>
      <c r="O153" s="486">
        <f t="shared" si="83"/>
        <v>21.32055279060344</v>
      </c>
      <c r="P153" s="486">
        <f t="shared" si="83"/>
        <v>0</v>
      </c>
      <c r="Q153" s="486">
        <f t="shared" si="83"/>
        <v>0</v>
      </c>
      <c r="R153" s="483">
        <f t="shared" si="87"/>
        <v>65.788800231792223</v>
      </c>
      <c r="S153" s="486">
        <f t="shared" si="84"/>
        <v>65.788800231792237</v>
      </c>
      <c r="T153" s="486">
        <f t="shared" si="84"/>
        <v>-4.7500072093965597</v>
      </c>
      <c r="U153" s="486">
        <f t="shared" si="84"/>
        <v>0</v>
      </c>
      <c r="V153" s="486">
        <f t="shared" si="84"/>
        <v>0</v>
      </c>
      <c r="W153" s="483">
        <f t="shared" si="88"/>
        <v>61.03879302239568</v>
      </c>
    </row>
    <row r="154" spans="2:23" x14ac:dyDescent="0.3">
      <c r="B154" s="96">
        <f t="shared" si="89"/>
        <v>7</v>
      </c>
      <c r="C154" s="299" t="s">
        <v>864</v>
      </c>
      <c r="D154" s="486">
        <f t="shared" si="81"/>
        <v>0.37403632322391123</v>
      </c>
      <c r="E154" s="486">
        <f t="shared" si="81"/>
        <v>-6.3557076039806537E-2</v>
      </c>
      <c r="F154" s="486">
        <f t="shared" si="81"/>
        <v>0</v>
      </c>
      <c r="G154" s="486">
        <f t="shared" si="81"/>
        <v>0</v>
      </c>
      <c r="H154" s="483">
        <f t="shared" si="85"/>
        <v>0.31047924718410469</v>
      </c>
      <c r="I154" s="486">
        <f t="shared" si="82"/>
        <v>0.31047924718410469</v>
      </c>
      <c r="J154" s="486">
        <f t="shared" si="82"/>
        <v>-6.3557076039806537E-2</v>
      </c>
      <c r="K154" s="486">
        <f t="shared" si="82"/>
        <v>0</v>
      </c>
      <c r="L154" s="486">
        <f t="shared" si="82"/>
        <v>0</v>
      </c>
      <c r="M154" s="483">
        <f t="shared" si="86"/>
        <v>0.24692217114429815</v>
      </c>
      <c r="N154" s="486">
        <f t="shared" si="83"/>
        <v>0.24692217114429815</v>
      </c>
      <c r="O154" s="486">
        <f t="shared" si="83"/>
        <v>-6.3557076039806537E-2</v>
      </c>
      <c r="P154" s="486">
        <f t="shared" si="83"/>
        <v>0</v>
      </c>
      <c r="Q154" s="486">
        <f t="shared" si="83"/>
        <v>0</v>
      </c>
      <c r="R154" s="483">
        <f t="shared" si="87"/>
        <v>0.18336509510449162</v>
      </c>
      <c r="S154" s="486">
        <f t="shared" si="84"/>
        <v>0.18336509510449162</v>
      </c>
      <c r="T154" s="486">
        <f t="shared" si="84"/>
        <v>-6.3557076039806537E-2</v>
      </c>
      <c r="U154" s="486">
        <f t="shared" si="84"/>
        <v>0</v>
      </c>
      <c r="V154" s="486">
        <f t="shared" si="84"/>
        <v>0</v>
      </c>
      <c r="W154" s="483">
        <f t="shared" si="88"/>
        <v>0.11980801906468508</v>
      </c>
    </row>
    <row r="155" spans="2:23" x14ac:dyDescent="0.3">
      <c r="B155" s="96">
        <f t="shared" si="89"/>
        <v>8</v>
      </c>
      <c r="C155" s="299" t="s">
        <v>865</v>
      </c>
      <c r="D155" s="486">
        <f t="shared" si="81"/>
        <v>0</v>
      </c>
      <c r="E155" s="486">
        <f t="shared" si="81"/>
        <v>0</v>
      </c>
      <c r="F155" s="486">
        <f t="shared" si="81"/>
        <v>0</v>
      </c>
      <c r="G155" s="486">
        <f t="shared" si="81"/>
        <v>0</v>
      </c>
      <c r="H155" s="483">
        <f t="shared" si="85"/>
        <v>0</v>
      </c>
      <c r="I155" s="486">
        <f t="shared" si="82"/>
        <v>0</v>
      </c>
      <c r="J155" s="486">
        <f t="shared" si="82"/>
        <v>0</v>
      </c>
      <c r="K155" s="486">
        <f t="shared" si="82"/>
        <v>0</v>
      </c>
      <c r="L155" s="486">
        <f t="shared" si="82"/>
        <v>0</v>
      </c>
      <c r="M155" s="483">
        <f t="shared" si="86"/>
        <v>0</v>
      </c>
      <c r="N155" s="486">
        <f t="shared" si="83"/>
        <v>0</v>
      </c>
      <c r="O155" s="486">
        <f t="shared" si="83"/>
        <v>0</v>
      </c>
      <c r="P155" s="486">
        <f t="shared" si="83"/>
        <v>0</v>
      </c>
      <c r="Q155" s="486">
        <f t="shared" si="83"/>
        <v>0</v>
      </c>
      <c r="R155" s="483">
        <f t="shared" si="87"/>
        <v>0</v>
      </c>
      <c r="S155" s="486">
        <f t="shared" si="84"/>
        <v>0</v>
      </c>
      <c r="T155" s="486">
        <f t="shared" si="84"/>
        <v>0</v>
      </c>
      <c r="U155" s="486">
        <f t="shared" si="84"/>
        <v>0</v>
      </c>
      <c r="V155" s="486">
        <f t="shared" si="84"/>
        <v>0</v>
      </c>
      <c r="W155" s="483">
        <f t="shared" si="88"/>
        <v>0</v>
      </c>
    </row>
    <row r="156" spans="2:23" x14ac:dyDescent="0.3">
      <c r="B156" s="96">
        <f t="shared" si="89"/>
        <v>9</v>
      </c>
      <c r="C156" s="299" t="s">
        <v>866</v>
      </c>
      <c r="D156" s="486">
        <f t="shared" si="81"/>
        <v>0.31042634677309211</v>
      </c>
      <c r="E156" s="486">
        <f t="shared" si="81"/>
        <v>-1.5705706968630162E-2</v>
      </c>
      <c r="F156" s="486">
        <f t="shared" si="81"/>
        <v>0</v>
      </c>
      <c r="G156" s="486">
        <f t="shared" si="81"/>
        <v>0</v>
      </c>
      <c r="H156" s="483">
        <f t="shared" si="85"/>
        <v>0.29472063980446195</v>
      </c>
      <c r="I156" s="486">
        <f t="shared" si="82"/>
        <v>0.29472063980446217</v>
      </c>
      <c r="J156" s="486">
        <f t="shared" si="82"/>
        <v>-1.5705706968630235E-2</v>
      </c>
      <c r="K156" s="486">
        <f t="shared" si="82"/>
        <v>0</v>
      </c>
      <c r="L156" s="486">
        <f t="shared" si="82"/>
        <v>0</v>
      </c>
      <c r="M156" s="483">
        <f t="shared" si="86"/>
        <v>0.27901493283583195</v>
      </c>
      <c r="N156" s="486">
        <f t="shared" si="83"/>
        <v>0.27901493283583179</v>
      </c>
      <c r="O156" s="486">
        <f t="shared" si="83"/>
        <v>-1.5705706968630162E-2</v>
      </c>
      <c r="P156" s="486">
        <f t="shared" si="83"/>
        <v>0</v>
      </c>
      <c r="Q156" s="486">
        <f t="shared" si="83"/>
        <v>0</v>
      </c>
      <c r="R156" s="483">
        <f t="shared" si="87"/>
        <v>0.26330922586720162</v>
      </c>
      <c r="S156" s="486">
        <f t="shared" si="84"/>
        <v>0.2633092258672014</v>
      </c>
      <c r="T156" s="486">
        <f t="shared" si="84"/>
        <v>-1.570570696862994E-2</v>
      </c>
      <c r="U156" s="486">
        <f t="shared" si="84"/>
        <v>0</v>
      </c>
      <c r="V156" s="486">
        <f t="shared" si="84"/>
        <v>0</v>
      </c>
      <c r="W156" s="483">
        <f t="shared" si="88"/>
        <v>0.24760351889857146</v>
      </c>
    </row>
    <row r="157" spans="2:23" x14ac:dyDescent="0.3">
      <c r="B157" s="96">
        <f t="shared" si="89"/>
        <v>10</v>
      </c>
      <c r="C157" s="299" t="s">
        <v>258</v>
      </c>
      <c r="D157" s="486">
        <f t="shared" si="81"/>
        <v>0.1909614978276486</v>
      </c>
      <c r="E157" s="486">
        <f t="shared" si="81"/>
        <v>-1.0915708436725846E-2</v>
      </c>
      <c r="F157" s="486">
        <f t="shared" si="81"/>
        <v>0</v>
      </c>
      <c r="G157" s="486">
        <f t="shared" si="81"/>
        <v>0</v>
      </c>
      <c r="H157" s="483">
        <f t="shared" si="85"/>
        <v>0.18004578939092275</v>
      </c>
      <c r="I157" s="486">
        <f t="shared" si="82"/>
        <v>0.18004578939092286</v>
      </c>
      <c r="J157" s="486">
        <f t="shared" si="82"/>
        <v>-1.0915708436725883E-2</v>
      </c>
      <c r="K157" s="486">
        <f t="shared" si="82"/>
        <v>0</v>
      </c>
      <c r="L157" s="486">
        <f t="shared" si="82"/>
        <v>0</v>
      </c>
      <c r="M157" s="483">
        <f t="shared" si="86"/>
        <v>0.16913008095419699</v>
      </c>
      <c r="N157" s="486">
        <f t="shared" si="83"/>
        <v>0.1691300809541969</v>
      </c>
      <c r="O157" s="486">
        <f t="shared" si="83"/>
        <v>-1.0915708436725846E-2</v>
      </c>
      <c r="P157" s="486">
        <f t="shared" si="83"/>
        <v>0</v>
      </c>
      <c r="Q157" s="486">
        <f t="shared" si="83"/>
        <v>0</v>
      </c>
      <c r="R157" s="483">
        <f t="shared" si="87"/>
        <v>0.15821437251747106</v>
      </c>
      <c r="S157" s="486">
        <f t="shared" si="84"/>
        <v>0.15821437251747095</v>
      </c>
      <c r="T157" s="486">
        <f t="shared" si="84"/>
        <v>-1.0915708436725735E-2</v>
      </c>
      <c r="U157" s="486">
        <f t="shared" si="84"/>
        <v>0</v>
      </c>
      <c r="V157" s="486">
        <f t="shared" si="84"/>
        <v>0</v>
      </c>
      <c r="W157" s="483">
        <f t="shared" si="88"/>
        <v>0.14729866408074521</v>
      </c>
    </row>
    <row r="158" spans="2:23" x14ac:dyDescent="0.3">
      <c r="B158" s="96">
        <f t="shared" si="89"/>
        <v>11</v>
      </c>
      <c r="C158" s="299" t="s">
        <v>259</v>
      </c>
      <c r="D158" s="486">
        <f t="shared" si="81"/>
        <v>0.95092708034196205</v>
      </c>
      <c r="E158" s="486">
        <f t="shared" si="81"/>
        <v>-0.16218869827568472</v>
      </c>
      <c r="F158" s="486">
        <f t="shared" si="81"/>
        <v>0</v>
      </c>
      <c r="G158" s="486">
        <f t="shared" si="81"/>
        <v>0</v>
      </c>
      <c r="H158" s="483">
        <f t="shared" si="85"/>
        <v>0.78873838206627733</v>
      </c>
      <c r="I158" s="486">
        <f t="shared" si="82"/>
        <v>0.78873838206627722</v>
      </c>
      <c r="J158" s="486">
        <f t="shared" si="82"/>
        <v>-0.16218869827568469</v>
      </c>
      <c r="K158" s="486">
        <f t="shared" si="82"/>
        <v>0</v>
      </c>
      <c r="L158" s="486">
        <f t="shared" si="82"/>
        <v>0</v>
      </c>
      <c r="M158" s="483">
        <f t="shared" si="86"/>
        <v>0.6265496837905925</v>
      </c>
      <c r="N158" s="486">
        <f t="shared" si="83"/>
        <v>0.62654968379059239</v>
      </c>
      <c r="O158" s="486">
        <f t="shared" si="83"/>
        <v>-0.16218869827568461</v>
      </c>
      <c r="P158" s="486">
        <f t="shared" si="83"/>
        <v>0</v>
      </c>
      <c r="Q158" s="486">
        <f t="shared" si="83"/>
        <v>0</v>
      </c>
      <c r="R158" s="483">
        <f t="shared" si="87"/>
        <v>0.46436098551490779</v>
      </c>
      <c r="S158" s="486">
        <f t="shared" si="84"/>
        <v>0.46436098551490801</v>
      </c>
      <c r="T158" s="486">
        <f t="shared" si="84"/>
        <v>-0.16218869827568483</v>
      </c>
      <c r="U158" s="486">
        <f t="shared" si="84"/>
        <v>0</v>
      </c>
      <c r="V158" s="486">
        <f t="shared" si="84"/>
        <v>0</v>
      </c>
      <c r="W158" s="483">
        <f t="shared" si="88"/>
        <v>0.30217228723922318</v>
      </c>
    </row>
    <row r="159" spans="2:23" x14ac:dyDescent="0.3">
      <c r="B159" s="96">
        <f t="shared" si="89"/>
        <v>12</v>
      </c>
      <c r="C159" s="299" t="s">
        <v>260</v>
      </c>
      <c r="D159" s="486">
        <f t="shared" si="81"/>
        <v>0.86580025131197669</v>
      </c>
      <c r="E159" s="486">
        <f t="shared" si="81"/>
        <v>-0.15175005945898545</v>
      </c>
      <c r="F159" s="486">
        <f t="shared" si="81"/>
        <v>0</v>
      </c>
      <c r="G159" s="486">
        <f t="shared" si="81"/>
        <v>0</v>
      </c>
      <c r="H159" s="483">
        <f t="shared" si="85"/>
        <v>0.71405019185299123</v>
      </c>
      <c r="I159" s="486">
        <f t="shared" si="82"/>
        <v>0.71405019185299112</v>
      </c>
      <c r="J159" s="486">
        <f t="shared" si="82"/>
        <v>-0.15175005945898543</v>
      </c>
      <c r="K159" s="486">
        <f t="shared" si="82"/>
        <v>0</v>
      </c>
      <c r="L159" s="486">
        <f t="shared" si="82"/>
        <v>0</v>
      </c>
      <c r="M159" s="483">
        <f t="shared" si="86"/>
        <v>0.56230013239400567</v>
      </c>
      <c r="N159" s="486">
        <f t="shared" si="83"/>
        <v>0.56230013239400556</v>
      </c>
      <c r="O159" s="486">
        <f t="shared" si="83"/>
        <v>-0.15175005945898534</v>
      </c>
      <c r="P159" s="486">
        <f t="shared" si="83"/>
        <v>0</v>
      </c>
      <c r="Q159" s="486">
        <f t="shared" si="83"/>
        <v>0</v>
      </c>
      <c r="R159" s="483">
        <f t="shared" si="87"/>
        <v>0.41055007293502022</v>
      </c>
      <c r="S159" s="486">
        <f t="shared" si="84"/>
        <v>0.41055007293501999</v>
      </c>
      <c r="T159" s="486">
        <f t="shared" si="84"/>
        <v>-0.15175005945898512</v>
      </c>
      <c r="U159" s="486">
        <f t="shared" si="84"/>
        <v>0</v>
      </c>
      <c r="V159" s="486">
        <f t="shared" si="84"/>
        <v>0</v>
      </c>
      <c r="W159" s="483">
        <f t="shared" si="88"/>
        <v>0.25880001347603487</v>
      </c>
    </row>
    <row r="160" spans="2:23" x14ac:dyDescent="0.3">
      <c r="B160" s="96">
        <f t="shared" si="89"/>
        <v>13</v>
      </c>
      <c r="C160" s="497" t="s">
        <v>874</v>
      </c>
      <c r="D160" s="486">
        <f t="shared" si="81"/>
        <v>0</v>
      </c>
      <c r="E160" s="486">
        <f t="shared" si="81"/>
        <v>0</v>
      </c>
      <c r="F160" s="486">
        <f t="shared" si="81"/>
        <v>0</v>
      </c>
      <c r="G160" s="486">
        <f t="shared" si="81"/>
        <v>0</v>
      </c>
      <c r="H160" s="483">
        <f t="shared" ref="H160:H164" si="90">D160+E160-F160-G160</f>
        <v>0</v>
      </c>
      <c r="I160" s="486">
        <f t="shared" si="82"/>
        <v>0</v>
      </c>
      <c r="J160" s="486">
        <f t="shared" si="82"/>
        <v>0</v>
      </c>
      <c r="K160" s="486">
        <f t="shared" si="82"/>
        <v>0</v>
      </c>
      <c r="L160" s="486">
        <f t="shared" si="82"/>
        <v>0</v>
      </c>
      <c r="M160" s="483">
        <f t="shared" ref="M160:M164" si="91">I160+J160-K160-L160</f>
        <v>0</v>
      </c>
      <c r="N160" s="486">
        <f t="shared" si="83"/>
        <v>0</v>
      </c>
      <c r="O160" s="486">
        <f t="shared" si="83"/>
        <v>0</v>
      </c>
      <c r="P160" s="486">
        <f t="shared" si="83"/>
        <v>0</v>
      </c>
      <c r="Q160" s="486">
        <f t="shared" si="83"/>
        <v>0</v>
      </c>
      <c r="R160" s="483">
        <f t="shared" si="87"/>
        <v>0</v>
      </c>
      <c r="S160" s="486">
        <f t="shared" si="84"/>
        <v>0</v>
      </c>
      <c r="T160" s="486">
        <f t="shared" si="84"/>
        <v>0</v>
      </c>
      <c r="U160" s="486">
        <f t="shared" si="84"/>
        <v>0</v>
      </c>
      <c r="V160" s="486">
        <f t="shared" si="84"/>
        <v>0</v>
      </c>
      <c r="W160" s="483">
        <f t="shared" si="88"/>
        <v>0</v>
      </c>
    </row>
    <row r="161" spans="2:23" x14ac:dyDescent="0.3">
      <c r="B161" s="96">
        <f t="shared" si="89"/>
        <v>14</v>
      </c>
      <c r="C161" s="497" t="s">
        <v>875</v>
      </c>
      <c r="D161" s="486">
        <f t="shared" si="81"/>
        <v>0</v>
      </c>
      <c r="E161" s="486">
        <f t="shared" si="81"/>
        <v>0</v>
      </c>
      <c r="F161" s="486">
        <f t="shared" si="81"/>
        <v>0</v>
      </c>
      <c r="G161" s="486">
        <f t="shared" si="81"/>
        <v>0</v>
      </c>
      <c r="H161" s="483">
        <f t="shared" si="90"/>
        <v>0</v>
      </c>
      <c r="I161" s="486">
        <f t="shared" si="82"/>
        <v>0</v>
      </c>
      <c r="J161" s="486">
        <f t="shared" si="82"/>
        <v>0</v>
      </c>
      <c r="K161" s="486">
        <f t="shared" si="82"/>
        <v>0</v>
      </c>
      <c r="L161" s="486">
        <f t="shared" si="82"/>
        <v>0</v>
      </c>
      <c r="M161" s="483">
        <f t="shared" si="91"/>
        <v>0</v>
      </c>
      <c r="N161" s="486">
        <f t="shared" si="83"/>
        <v>0</v>
      </c>
      <c r="O161" s="486">
        <f t="shared" si="83"/>
        <v>0</v>
      </c>
      <c r="P161" s="486">
        <f t="shared" si="83"/>
        <v>0</v>
      </c>
      <c r="Q161" s="486">
        <f t="shared" si="83"/>
        <v>0</v>
      </c>
      <c r="R161" s="483">
        <f t="shared" si="87"/>
        <v>0</v>
      </c>
      <c r="S161" s="486">
        <f t="shared" si="84"/>
        <v>0</v>
      </c>
      <c r="T161" s="486">
        <f t="shared" si="84"/>
        <v>0</v>
      </c>
      <c r="U161" s="486">
        <f t="shared" si="84"/>
        <v>0</v>
      </c>
      <c r="V161" s="486">
        <f t="shared" si="84"/>
        <v>0</v>
      </c>
      <c r="W161" s="483">
        <f t="shared" si="88"/>
        <v>0</v>
      </c>
    </row>
    <row r="162" spans="2:23" x14ac:dyDescent="0.3">
      <c r="B162" s="96">
        <f t="shared" si="89"/>
        <v>15</v>
      </c>
      <c r="C162" s="497" t="s">
        <v>876</v>
      </c>
      <c r="D162" s="486">
        <f t="shared" si="81"/>
        <v>0</v>
      </c>
      <c r="E162" s="486">
        <f t="shared" si="81"/>
        <v>0</v>
      </c>
      <c r="F162" s="486">
        <f t="shared" si="81"/>
        <v>0</v>
      </c>
      <c r="G162" s="486">
        <f t="shared" si="81"/>
        <v>0</v>
      </c>
      <c r="H162" s="483">
        <f t="shared" si="90"/>
        <v>0</v>
      </c>
      <c r="I162" s="486">
        <f t="shared" si="82"/>
        <v>0</v>
      </c>
      <c r="J162" s="486">
        <f t="shared" si="82"/>
        <v>0</v>
      </c>
      <c r="K162" s="486">
        <f t="shared" si="82"/>
        <v>0</v>
      </c>
      <c r="L162" s="486">
        <f t="shared" si="82"/>
        <v>0</v>
      </c>
      <c r="M162" s="483">
        <f t="shared" si="91"/>
        <v>0</v>
      </c>
      <c r="N162" s="486">
        <f t="shared" si="83"/>
        <v>0</v>
      </c>
      <c r="O162" s="486">
        <f t="shared" si="83"/>
        <v>0</v>
      </c>
      <c r="P162" s="486">
        <f t="shared" si="83"/>
        <v>0</v>
      </c>
      <c r="Q162" s="486">
        <f t="shared" si="83"/>
        <v>0</v>
      </c>
      <c r="R162" s="483">
        <f t="shared" si="87"/>
        <v>0</v>
      </c>
      <c r="S162" s="486">
        <f t="shared" si="84"/>
        <v>0</v>
      </c>
      <c r="T162" s="486">
        <f t="shared" si="84"/>
        <v>0</v>
      </c>
      <c r="U162" s="486">
        <f t="shared" si="84"/>
        <v>0</v>
      </c>
      <c r="V162" s="486">
        <f t="shared" si="84"/>
        <v>0</v>
      </c>
      <c r="W162" s="483">
        <f t="shared" si="88"/>
        <v>0</v>
      </c>
    </row>
    <row r="163" spans="2:23" x14ac:dyDescent="0.3">
      <c r="B163" s="96">
        <f t="shared" si="89"/>
        <v>16</v>
      </c>
      <c r="C163" s="497" t="s">
        <v>867</v>
      </c>
      <c r="D163" s="486">
        <f t="shared" si="81"/>
        <v>6.5098024153198653E-2</v>
      </c>
      <c r="E163" s="486">
        <f t="shared" si="81"/>
        <v>-1.6274506038299663E-2</v>
      </c>
      <c r="F163" s="486">
        <f t="shared" si="81"/>
        <v>0</v>
      </c>
      <c r="G163" s="486">
        <f t="shared" si="81"/>
        <v>0</v>
      </c>
      <c r="H163" s="483">
        <f t="shared" si="90"/>
        <v>4.8823518114898989E-2</v>
      </c>
      <c r="I163" s="486">
        <f t="shared" si="82"/>
        <v>4.8823518114899045E-2</v>
      </c>
      <c r="J163" s="486">
        <f t="shared" si="82"/>
        <v>-1.627450603829968E-2</v>
      </c>
      <c r="K163" s="486">
        <f t="shared" si="82"/>
        <v>0</v>
      </c>
      <c r="L163" s="486">
        <f t="shared" si="82"/>
        <v>0</v>
      </c>
      <c r="M163" s="483">
        <f t="shared" si="91"/>
        <v>3.2549012076599368E-2</v>
      </c>
      <c r="N163" s="486">
        <f t="shared" si="83"/>
        <v>3.2549012076599437E-2</v>
      </c>
      <c r="O163" s="486">
        <f t="shared" si="83"/>
        <v>-1.6274506038299719E-2</v>
      </c>
      <c r="P163" s="486">
        <f t="shared" si="83"/>
        <v>0</v>
      </c>
      <c r="Q163" s="486">
        <f t="shared" si="83"/>
        <v>0</v>
      </c>
      <c r="R163" s="483">
        <f t="shared" si="87"/>
        <v>1.6274506038299719E-2</v>
      </c>
      <c r="S163" s="486">
        <f t="shared" si="84"/>
        <v>1.627450603829983E-2</v>
      </c>
      <c r="T163" s="486">
        <f t="shared" si="84"/>
        <v>-1.627450603829983E-2</v>
      </c>
      <c r="U163" s="486">
        <f t="shared" si="84"/>
        <v>0</v>
      </c>
      <c r="V163" s="486">
        <f t="shared" si="84"/>
        <v>0</v>
      </c>
      <c r="W163" s="483">
        <f t="shared" si="88"/>
        <v>0</v>
      </c>
    </row>
    <row r="164" spans="2:23" x14ac:dyDescent="0.3">
      <c r="B164" s="96">
        <f t="shared" si="89"/>
        <v>17</v>
      </c>
      <c r="C164" s="497" t="s">
        <v>877</v>
      </c>
      <c r="D164" s="486">
        <f t="shared" si="81"/>
        <v>-1.6262604331562871</v>
      </c>
      <c r="E164" s="486">
        <f t="shared" si="81"/>
        <v>0</v>
      </c>
      <c r="F164" s="486">
        <f t="shared" si="81"/>
        <v>0</v>
      </c>
      <c r="G164" s="486">
        <f t="shared" si="81"/>
        <v>0</v>
      </c>
      <c r="H164" s="483">
        <f t="shared" si="90"/>
        <v>-1.6262604331562871</v>
      </c>
      <c r="I164" s="486">
        <f t="shared" si="82"/>
        <v>-1.6262604331562871</v>
      </c>
      <c r="J164" s="486">
        <f t="shared" si="82"/>
        <v>0</v>
      </c>
      <c r="K164" s="486">
        <f t="shared" si="82"/>
        <v>0</v>
      </c>
      <c r="L164" s="486">
        <f t="shared" si="82"/>
        <v>0</v>
      </c>
      <c r="M164" s="483">
        <f t="shared" si="91"/>
        <v>-1.6262604331562871</v>
      </c>
      <c r="N164" s="486">
        <f t="shared" si="83"/>
        <v>-1.6262604331562871</v>
      </c>
      <c r="O164" s="486">
        <f t="shared" si="83"/>
        <v>0</v>
      </c>
      <c r="P164" s="486">
        <f t="shared" si="83"/>
        <v>0</v>
      </c>
      <c r="Q164" s="486">
        <f t="shared" si="83"/>
        <v>0</v>
      </c>
      <c r="R164" s="483">
        <f t="shared" si="87"/>
        <v>-1.6262604331562871</v>
      </c>
      <c r="S164" s="486">
        <f t="shared" si="84"/>
        <v>-1.6262604331562871</v>
      </c>
      <c r="T164" s="486">
        <f t="shared" si="84"/>
        <v>0</v>
      </c>
      <c r="U164" s="486">
        <f t="shared" si="84"/>
        <v>0</v>
      </c>
      <c r="V164" s="486">
        <f t="shared" si="84"/>
        <v>0</v>
      </c>
      <c r="W164" s="483">
        <f t="shared" si="88"/>
        <v>-1.6262604331562871</v>
      </c>
    </row>
    <row r="165" spans="2:23" ht="16" x14ac:dyDescent="0.3">
      <c r="B165" s="84"/>
      <c r="C165" s="99" t="s">
        <v>271</v>
      </c>
      <c r="D165" s="485">
        <f t="shared" ref="D165:M165" si="92">SUM(D148:D164)</f>
        <v>65.972797938963879</v>
      </c>
      <c r="E165" s="485">
        <f t="shared" si="92"/>
        <v>-4.5847341989320904</v>
      </c>
      <c r="F165" s="485">
        <f t="shared" si="92"/>
        <v>0</v>
      </c>
      <c r="G165" s="485">
        <f t="shared" si="92"/>
        <v>0</v>
      </c>
      <c r="H165" s="485">
        <f t="shared" si="92"/>
        <v>61.388063740031789</v>
      </c>
      <c r="I165" s="485">
        <f t="shared" si="92"/>
        <v>61.388063740031797</v>
      </c>
      <c r="J165" s="485">
        <f t="shared" si="92"/>
        <v>-4.5847341989320904</v>
      </c>
      <c r="K165" s="485">
        <f t="shared" si="92"/>
        <v>0</v>
      </c>
      <c r="L165" s="485">
        <f t="shared" si="92"/>
        <v>0</v>
      </c>
      <c r="M165" s="485">
        <f t="shared" si="92"/>
        <v>56.803329541099714</v>
      </c>
      <c r="N165" s="485">
        <f t="shared" ref="N165:W165" si="93">SUM(N148:N164)</f>
        <v>56.803329541099693</v>
      </c>
      <c r="O165" s="485">
        <f t="shared" si="93"/>
        <v>21.404306776564034</v>
      </c>
      <c r="P165" s="485">
        <f t="shared" si="93"/>
        <v>0</v>
      </c>
      <c r="Q165" s="485">
        <f t="shared" si="93"/>
        <v>0</v>
      </c>
      <c r="R165" s="485">
        <f t="shared" si="93"/>
        <v>78.207636317663741</v>
      </c>
      <c r="S165" s="485">
        <f t="shared" si="93"/>
        <v>78.207636317663756</v>
      </c>
      <c r="T165" s="485">
        <f t="shared" si="93"/>
        <v>-7.038553223435958</v>
      </c>
      <c r="U165" s="485">
        <f t="shared" si="93"/>
        <v>0</v>
      </c>
      <c r="V165" s="485">
        <f t="shared" si="93"/>
        <v>0</v>
      </c>
      <c r="W165" s="485">
        <f t="shared" si="93"/>
        <v>71.169083094227815</v>
      </c>
    </row>
    <row r="166" spans="2:23" x14ac:dyDescent="0.3">
      <c r="B166" s="307"/>
      <c r="C166" s="77"/>
      <c r="D166" s="77"/>
      <c r="E166" s="77"/>
      <c r="F166" s="77"/>
    </row>
  </sheetData>
  <mergeCells count="59">
    <mergeCell ref="D92:H92"/>
    <mergeCell ref="D91:H91"/>
    <mergeCell ref="D144:H144"/>
    <mergeCell ref="S36:W36"/>
    <mergeCell ref="S37:W37"/>
    <mergeCell ref="S91:W91"/>
    <mergeCell ref="S64:W64"/>
    <mergeCell ref="D36:H36"/>
    <mergeCell ref="D37:H37"/>
    <mergeCell ref="N37:R37"/>
    <mergeCell ref="N36:R36"/>
    <mergeCell ref="N11:R11"/>
    <mergeCell ref="D10:H10"/>
    <mergeCell ref="D11:H11"/>
    <mergeCell ref="B64:B66"/>
    <mergeCell ref="N119:R119"/>
    <mergeCell ref="I118:M118"/>
    <mergeCell ref="I119:M119"/>
    <mergeCell ref="D119:H119"/>
    <mergeCell ref="D64:H64"/>
    <mergeCell ref="I65:M65"/>
    <mergeCell ref="N65:R65"/>
    <mergeCell ref="B118:B120"/>
    <mergeCell ref="C118:C120"/>
    <mergeCell ref="B91:B93"/>
    <mergeCell ref="C91:C93"/>
    <mergeCell ref="I91:M91"/>
    <mergeCell ref="B144:B146"/>
    <mergeCell ref="C144:C146"/>
    <mergeCell ref="S119:W119"/>
    <mergeCell ref="I145:M145"/>
    <mergeCell ref="N91:R91"/>
    <mergeCell ref="I92:M92"/>
    <mergeCell ref="N92:R92"/>
    <mergeCell ref="S118:W118"/>
    <mergeCell ref="D145:H145"/>
    <mergeCell ref="I144:M144"/>
    <mergeCell ref="N144:R144"/>
    <mergeCell ref="D118:H118"/>
    <mergeCell ref="N118:R118"/>
    <mergeCell ref="S92:W92"/>
    <mergeCell ref="S144:W144"/>
    <mergeCell ref="S145:W145"/>
    <mergeCell ref="N145:R145"/>
    <mergeCell ref="S11:W11"/>
    <mergeCell ref="S10:W10"/>
    <mergeCell ref="C64:C66"/>
    <mergeCell ref="D65:H65"/>
    <mergeCell ref="S65:W65"/>
    <mergeCell ref="B33:G33"/>
    <mergeCell ref="I64:M64"/>
    <mergeCell ref="N64:R64"/>
    <mergeCell ref="B36:B38"/>
    <mergeCell ref="C36:C38"/>
    <mergeCell ref="B10:B12"/>
    <mergeCell ref="C10:C12"/>
    <mergeCell ref="I10:M10"/>
    <mergeCell ref="N10:R10"/>
    <mergeCell ref="I11:M11"/>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27" man="1"/>
    <brk id="114"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88"/>
  <sheetViews>
    <sheetView showGridLines="0" view="pageBreakPreview" zoomScale="70" zoomScaleNormal="68" zoomScaleSheetLayoutView="70" workbookViewId="0">
      <selection activeCell="G9" sqref="G9"/>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646"/>
    </row>
    <row r="2" spans="1:29" x14ac:dyDescent="0.3">
      <c r="B2" s="646"/>
    </row>
    <row r="3" spans="1:29" x14ac:dyDescent="0.3">
      <c r="B3" s="646"/>
    </row>
    <row r="4" spans="1:29" x14ac:dyDescent="0.3">
      <c r="B4" s="8"/>
      <c r="N4" s="659"/>
      <c r="O4" s="659"/>
      <c r="P4" s="644" t="str">
        <f>Index!B2</f>
        <v xml:space="preserve">      Maharashtra State Power Generation Company Ltd.</v>
      </c>
      <c r="Q4" s="660"/>
      <c r="R4" s="659"/>
      <c r="S4" s="659"/>
      <c r="T4" s="659"/>
      <c r="U4" s="659"/>
      <c r="V4" s="659"/>
      <c r="W4" s="659"/>
      <c r="X4" s="659"/>
      <c r="Y4" s="659"/>
      <c r="Z4" s="659"/>
      <c r="AA4" s="659"/>
      <c r="AB4" s="659"/>
      <c r="AC4" s="659"/>
    </row>
    <row r="5" spans="1:29" x14ac:dyDescent="0.3">
      <c r="B5" s="8"/>
      <c r="N5" s="549"/>
      <c r="O5" s="549"/>
      <c r="P5" s="644" t="str">
        <f>Index!B3</f>
        <v>MYT Petition Formats for SHP Hydro</v>
      </c>
      <c r="Q5" s="660"/>
      <c r="R5" s="549"/>
      <c r="S5" s="549"/>
      <c r="T5" s="549"/>
      <c r="U5" s="549"/>
      <c r="V5" s="549"/>
      <c r="W5" s="549"/>
      <c r="X5" s="549"/>
      <c r="Y5" s="549"/>
      <c r="Z5" s="549"/>
      <c r="AA5" s="549"/>
      <c r="AB5" s="549"/>
      <c r="AC5" s="659"/>
    </row>
    <row r="6" spans="1:29" x14ac:dyDescent="0.3">
      <c r="B6" s="659"/>
      <c r="N6" s="659"/>
      <c r="O6" s="8"/>
      <c r="P6" s="133" t="s">
        <v>998</v>
      </c>
      <c r="Q6" s="133"/>
      <c r="R6" s="8"/>
      <c r="S6" s="8"/>
      <c r="T6" s="659"/>
      <c r="U6" s="659"/>
      <c r="V6" s="659"/>
      <c r="W6" s="659"/>
      <c r="X6" s="659"/>
      <c r="Y6" s="659"/>
      <c r="Z6" s="659"/>
      <c r="AA6" s="659"/>
      <c r="AB6" s="659"/>
      <c r="AC6" s="659"/>
    </row>
    <row r="7" spans="1:29" x14ac:dyDescent="0.3">
      <c r="C7" s="8"/>
      <c r="D7" s="8"/>
      <c r="E7" s="8"/>
      <c r="F7" s="8"/>
      <c r="G7" s="8"/>
      <c r="H7" s="8"/>
      <c r="I7" s="8"/>
      <c r="J7" s="8"/>
      <c r="K7" s="8"/>
      <c r="L7" s="8"/>
      <c r="M7" s="8"/>
      <c r="O7" s="42"/>
      <c r="R7" s="42"/>
      <c r="S7" s="42"/>
    </row>
    <row r="8" spans="1:29" x14ac:dyDescent="0.3">
      <c r="A8" s="1" t="s">
        <v>265</v>
      </c>
      <c r="B8" s="646" t="s">
        <v>266</v>
      </c>
      <c r="C8" s="646"/>
      <c r="D8" s="646"/>
      <c r="E8" s="646"/>
      <c r="F8" s="646"/>
      <c r="G8" s="646"/>
      <c r="H8" s="646"/>
      <c r="I8" s="646"/>
      <c r="J8" s="646"/>
      <c r="K8" s="646"/>
      <c r="L8" s="646"/>
      <c r="M8" s="646"/>
      <c r="O8" s="42"/>
      <c r="R8" s="42"/>
      <c r="S8" s="42"/>
      <c r="W8" s="661"/>
    </row>
    <row r="9" spans="1:29" x14ac:dyDescent="0.3">
      <c r="B9" s="296"/>
      <c r="C9" s="8"/>
      <c r="D9" s="8"/>
      <c r="E9" s="8"/>
      <c r="F9" s="8"/>
      <c r="G9" s="8"/>
      <c r="H9" s="8"/>
      <c r="I9" s="8"/>
      <c r="J9" s="8"/>
      <c r="K9" s="8"/>
      <c r="L9" s="8"/>
      <c r="M9" s="8"/>
      <c r="O9" s="42"/>
      <c r="R9" s="42"/>
      <c r="S9" s="42"/>
      <c r="W9" s="661"/>
      <c r="AB9" s="297" t="s">
        <v>10</v>
      </c>
    </row>
    <row r="10" spans="1:29" x14ac:dyDescent="0.3">
      <c r="B10" s="646"/>
      <c r="C10" s="8"/>
      <c r="D10" s="8"/>
      <c r="E10" s="8"/>
      <c r="F10" s="8"/>
      <c r="G10" s="8"/>
      <c r="H10" s="8"/>
      <c r="I10" s="8"/>
      <c r="J10" s="8"/>
      <c r="K10" s="8"/>
      <c r="L10" s="8"/>
      <c r="M10" s="8"/>
      <c r="O10" s="42"/>
      <c r="R10" s="42"/>
      <c r="S10" s="42"/>
    </row>
    <row r="11" spans="1:29" ht="15.75" customHeight="1" x14ac:dyDescent="0.3">
      <c r="B11" s="646"/>
      <c r="C11" s="8"/>
      <c r="D11" s="8"/>
      <c r="E11" s="8"/>
      <c r="F11" s="8"/>
      <c r="G11" s="8"/>
      <c r="H11" s="8"/>
      <c r="I11" s="8"/>
      <c r="J11" s="8"/>
      <c r="K11" s="8"/>
      <c r="L11" s="8"/>
      <c r="M11" s="8"/>
      <c r="O11" s="42"/>
      <c r="R11" s="42"/>
      <c r="S11" s="42"/>
      <c r="AB11" s="297" t="s">
        <v>10</v>
      </c>
    </row>
    <row r="12" spans="1:29" ht="15.75" customHeight="1" x14ac:dyDescent="0.3">
      <c r="B12" s="1521" t="s">
        <v>343</v>
      </c>
      <c r="C12" s="1521" t="s">
        <v>37</v>
      </c>
      <c r="D12" s="1521" t="s">
        <v>940</v>
      </c>
      <c r="E12" s="1521"/>
      <c r="F12" s="1521"/>
      <c r="G12" s="1521"/>
      <c r="H12" s="1521"/>
      <c r="I12" s="1648" t="s">
        <v>941</v>
      </c>
      <c r="J12" s="1648"/>
      <c r="K12" s="1648"/>
      <c r="L12" s="1648"/>
      <c r="M12" s="1648"/>
      <c r="N12" s="1648" t="s">
        <v>945</v>
      </c>
      <c r="O12" s="1648"/>
      <c r="P12" s="1648"/>
      <c r="Q12" s="1648"/>
      <c r="R12" s="1648"/>
      <c r="S12" s="1648" t="s">
        <v>942</v>
      </c>
      <c r="T12" s="1648"/>
      <c r="U12" s="1648"/>
      <c r="V12" s="1648"/>
      <c r="W12" s="1648"/>
      <c r="X12" s="1648" t="s">
        <v>944</v>
      </c>
      <c r="Y12" s="1648"/>
      <c r="Z12" s="1648"/>
      <c r="AA12" s="1648"/>
      <c r="AB12" s="1648"/>
    </row>
    <row r="13" spans="1:29" x14ac:dyDescent="0.3">
      <c r="B13" s="1521"/>
      <c r="C13" s="1521"/>
      <c r="D13" s="1654" t="s">
        <v>21</v>
      </c>
      <c r="E13" s="1655"/>
      <c r="F13" s="1655"/>
      <c r="G13" s="1655"/>
      <c r="H13" s="1655"/>
      <c r="I13" s="1652" t="s">
        <v>21</v>
      </c>
      <c r="J13" s="1653"/>
      <c r="K13" s="1653"/>
      <c r="L13" s="1653"/>
      <c r="M13" s="1653"/>
      <c r="N13" s="1652" t="s">
        <v>21</v>
      </c>
      <c r="O13" s="1653"/>
      <c r="P13" s="1653"/>
      <c r="Q13" s="1653"/>
      <c r="R13" s="1653"/>
      <c r="S13" s="1652" t="s">
        <v>21</v>
      </c>
      <c r="T13" s="1653"/>
      <c r="U13" s="1653"/>
      <c r="V13" s="1653"/>
      <c r="W13" s="1653"/>
      <c r="X13" s="1652" t="s">
        <v>21</v>
      </c>
      <c r="Y13" s="1653"/>
      <c r="Z13" s="1653"/>
      <c r="AA13" s="1653"/>
      <c r="AB13" s="1653"/>
    </row>
    <row r="14" spans="1:29" s="132" customFormat="1" ht="42" x14ac:dyDescent="0.25">
      <c r="B14" s="1521"/>
      <c r="C14" s="1521"/>
      <c r="D14" s="645" t="s">
        <v>267</v>
      </c>
      <c r="E14" s="645" t="s">
        <v>268</v>
      </c>
      <c r="F14" s="645" t="s">
        <v>269</v>
      </c>
      <c r="G14" s="645" t="s">
        <v>601</v>
      </c>
      <c r="H14" s="645" t="s">
        <v>270</v>
      </c>
      <c r="I14" s="653" t="s">
        <v>267</v>
      </c>
      <c r="J14" s="653" t="s">
        <v>268</v>
      </c>
      <c r="K14" s="653" t="s">
        <v>269</v>
      </c>
      <c r="L14" s="645" t="s">
        <v>601</v>
      </c>
      <c r="M14" s="653" t="s">
        <v>270</v>
      </c>
      <c r="N14" s="653" t="s">
        <v>267</v>
      </c>
      <c r="O14" s="653" t="s">
        <v>268</v>
      </c>
      <c r="P14" s="653" t="s">
        <v>269</v>
      </c>
      <c r="Q14" s="645" t="s">
        <v>601</v>
      </c>
      <c r="R14" s="653" t="s">
        <v>270</v>
      </c>
      <c r="S14" s="653" t="s">
        <v>267</v>
      </c>
      <c r="T14" s="653" t="s">
        <v>268</v>
      </c>
      <c r="U14" s="653" t="s">
        <v>269</v>
      </c>
      <c r="V14" s="645" t="s">
        <v>601</v>
      </c>
      <c r="W14" s="653" t="s">
        <v>270</v>
      </c>
      <c r="X14" s="653" t="s">
        <v>267</v>
      </c>
      <c r="Y14" s="653" t="s">
        <v>268</v>
      </c>
      <c r="Z14" s="653" t="s">
        <v>269</v>
      </c>
      <c r="AA14" s="645" t="s">
        <v>601</v>
      </c>
      <c r="AB14" s="653" t="s">
        <v>270</v>
      </c>
    </row>
    <row r="15" spans="1:29" s="42" customFormat="1" x14ac:dyDescent="0.3">
      <c r="B15" s="298"/>
      <c r="C15" s="298"/>
      <c r="D15" s="298" t="s">
        <v>81</v>
      </c>
      <c r="E15" s="298" t="s">
        <v>82</v>
      </c>
      <c r="F15" s="298" t="s">
        <v>472</v>
      </c>
      <c r="G15" s="298" t="s">
        <v>397</v>
      </c>
      <c r="H15" s="298" t="s">
        <v>602</v>
      </c>
      <c r="I15" s="298" t="s">
        <v>414</v>
      </c>
      <c r="J15" s="298" t="s">
        <v>522</v>
      </c>
      <c r="K15" s="298" t="s">
        <v>415</v>
      </c>
      <c r="L15" s="298" t="s">
        <v>416</v>
      </c>
      <c r="M15" s="298" t="s">
        <v>669</v>
      </c>
      <c r="N15" s="298" t="s">
        <v>603</v>
      </c>
      <c r="O15" s="298" t="s">
        <v>670</v>
      </c>
      <c r="P15" s="298" t="s">
        <v>604</v>
      </c>
      <c r="Q15" s="298" t="s">
        <v>605</v>
      </c>
      <c r="R15" s="298" t="s">
        <v>671</v>
      </c>
      <c r="S15" s="298" t="s">
        <v>606</v>
      </c>
      <c r="T15" s="298" t="s">
        <v>607</v>
      </c>
      <c r="U15" s="298" t="s">
        <v>672</v>
      </c>
      <c r="V15" s="298" t="s">
        <v>608</v>
      </c>
      <c r="W15" s="298" t="s">
        <v>999</v>
      </c>
      <c r="X15" s="298" t="s">
        <v>609</v>
      </c>
      <c r="Y15" s="298" t="s">
        <v>610</v>
      </c>
      <c r="Z15" s="298" t="s">
        <v>611</v>
      </c>
      <c r="AA15" s="298" t="s">
        <v>673</v>
      </c>
      <c r="AB15" s="298" t="s">
        <v>674</v>
      </c>
    </row>
    <row r="16" spans="1:29" s="42" customFormat="1" x14ac:dyDescent="0.3">
      <c r="B16" s="492">
        <v>1</v>
      </c>
      <c r="C16" s="497" t="s">
        <v>860</v>
      </c>
      <c r="D16" s="1127">
        <v>0</v>
      </c>
      <c r="E16" s="1127">
        <v>0</v>
      </c>
      <c r="F16" s="1127">
        <v>0</v>
      </c>
      <c r="G16" s="1128"/>
      <c r="H16" s="1130">
        <f>D16+E16-F16-G16</f>
        <v>0</v>
      </c>
      <c r="I16" s="1131">
        <f>H16</f>
        <v>0</v>
      </c>
      <c r="J16" s="1127">
        <v>0</v>
      </c>
      <c r="K16" s="1127">
        <v>0</v>
      </c>
      <c r="L16" s="1128"/>
      <c r="M16" s="1131">
        <f>I16+J16-K16-L16</f>
        <v>0</v>
      </c>
      <c r="N16" s="395">
        <f>M16</f>
        <v>0</v>
      </c>
      <c r="O16" s="1127">
        <v>0</v>
      </c>
      <c r="P16" s="1127">
        <v>0</v>
      </c>
      <c r="Q16" s="1128"/>
      <c r="R16" s="395">
        <f>N16+O16-P16-Q16</f>
        <v>0</v>
      </c>
      <c r="S16" s="395">
        <f>R16</f>
        <v>0</v>
      </c>
      <c r="T16" s="1127">
        <v>0</v>
      </c>
      <c r="U16" s="1127">
        <v>0</v>
      </c>
      <c r="V16" s="1128"/>
      <c r="W16" s="395">
        <f>S16+T16-U16-V16</f>
        <v>0</v>
      </c>
      <c r="X16" s="395">
        <f>W16</f>
        <v>0</v>
      </c>
      <c r="Y16" s="1132">
        <v>0</v>
      </c>
      <c r="Z16" s="1132">
        <v>0</v>
      </c>
      <c r="AA16" s="1128"/>
      <c r="AB16" s="395">
        <f>X16+Y16-Z16-AA16</f>
        <v>0</v>
      </c>
    </row>
    <row r="17" spans="2:28" s="42" customFormat="1" x14ac:dyDescent="0.3">
      <c r="B17" s="492">
        <f>B16+1</f>
        <v>2</v>
      </c>
      <c r="C17" s="497" t="s">
        <v>255</v>
      </c>
      <c r="D17" s="1127">
        <v>0</v>
      </c>
      <c r="E17" s="1127">
        <v>0</v>
      </c>
      <c r="F17" s="1127">
        <v>0</v>
      </c>
      <c r="G17" s="1128"/>
      <c r="H17" s="1130">
        <f t="shared" ref="H17:H32" si="0">D17+E17-F17-G17</f>
        <v>0</v>
      </c>
      <c r="I17" s="1131">
        <f t="shared" ref="I17:I32" si="1">H17</f>
        <v>0</v>
      </c>
      <c r="J17" s="1127">
        <v>0</v>
      </c>
      <c r="K17" s="1127">
        <v>0</v>
      </c>
      <c r="L17" s="1128"/>
      <c r="M17" s="1131">
        <f t="shared" ref="M17:M32" si="2">I17+J17-K17-L17</f>
        <v>0</v>
      </c>
      <c r="N17" s="395">
        <f t="shared" ref="N17:N32" si="3">M17</f>
        <v>0</v>
      </c>
      <c r="O17" s="1127">
        <v>0</v>
      </c>
      <c r="P17" s="1127">
        <v>0</v>
      </c>
      <c r="Q17" s="1128"/>
      <c r="R17" s="395">
        <f t="shared" ref="R17:R32" si="4">N17+O17-P17-Q17</f>
        <v>0</v>
      </c>
      <c r="S17" s="395">
        <f t="shared" ref="S17:S32" si="5">R17</f>
        <v>0</v>
      </c>
      <c r="T17" s="1127">
        <v>0</v>
      </c>
      <c r="U17" s="1127">
        <v>0</v>
      </c>
      <c r="V17" s="1128"/>
      <c r="W17" s="395">
        <f t="shared" ref="W17:W32" si="6">S17+T17-U17-V17</f>
        <v>0</v>
      </c>
      <c r="X17" s="395">
        <f t="shared" ref="X17:X32" si="7">W17</f>
        <v>0</v>
      </c>
      <c r="Y17" s="1132">
        <v>0</v>
      </c>
      <c r="Z17" s="1132">
        <v>0</v>
      </c>
      <c r="AA17" s="1128"/>
      <c r="AB17" s="395">
        <f t="shared" ref="AB17:AB32" si="8">X17+Y17-Z17-AA17</f>
        <v>0</v>
      </c>
    </row>
    <row r="18" spans="2:28" x14ac:dyDescent="0.3">
      <c r="B18" s="492">
        <f t="shared" ref="B18:B32" si="9">B17+1</f>
        <v>3</v>
      </c>
      <c r="C18" s="497" t="s">
        <v>861</v>
      </c>
      <c r="D18" s="1133">
        <v>0</v>
      </c>
      <c r="E18" s="1133">
        <v>0.41666666666666663</v>
      </c>
      <c r="F18" s="1133">
        <v>0</v>
      </c>
      <c r="G18" s="1129"/>
      <c r="H18" s="1130">
        <f t="shared" si="0"/>
        <v>0.41666666666666663</v>
      </c>
      <c r="I18" s="1131">
        <f t="shared" si="1"/>
        <v>0.41666666666666663</v>
      </c>
      <c r="J18" s="1133">
        <v>0.625</v>
      </c>
      <c r="K18" s="1133">
        <v>0</v>
      </c>
      <c r="L18" s="1129"/>
      <c r="M18" s="1131">
        <f t="shared" si="2"/>
        <v>1.0416666666666665</v>
      </c>
      <c r="N18" s="395">
        <f t="shared" si="3"/>
        <v>1.0416666666666665</v>
      </c>
      <c r="O18" s="1133">
        <v>0</v>
      </c>
      <c r="P18" s="1133">
        <v>0</v>
      </c>
      <c r="Q18" s="1129"/>
      <c r="R18" s="395">
        <f t="shared" si="4"/>
        <v>1.0416666666666665</v>
      </c>
      <c r="S18" s="395">
        <f t="shared" si="5"/>
        <v>1.0416666666666665</v>
      </c>
      <c r="T18" s="1133">
        <v>0</v>
      </c>
      <c r="U18" s="1133">
        <v>0</v>
      </c>
      <c r="V18" s="1129"/>
      <c r="W18" s="395">
        <f t="shared" si="6"/>
        <v>1.0416666666666665</v>
      </c>
      <c r="X18" s="395">
        <f t="shared" si="7"/>
        <v>1.0416666666666665</v>
      </c>
      <c r="Y18" s="373">
        <v>0</v>
      </c>
      <c r="Z18" s="373">
        <v>0</v>
      </c>
      <c r="AA18" s="1129"/>
      <c r="AB18" s="395">
        <f t="shared" si="8"/>
        <v>1.0416666666666665</v>
      </c>
    </row>
    <row r="19" spans="2:28" x14ac:dyDescent="0.3">
      <c r="B19" s="492">
        <f t="shared" si="9"/>
        <v>4</v>
      </c>
      <c r="C19" s="497" t="s">
        <v>862</v>
      </c>
      <c r="D19" s="1127">
        <v>0</v>
      </c>
      <c r="E19" s="1127">
        <v>0</v>
      </c>
      <c r="F19" s="1127">
        <v>0</v>
      </c>
      <c r="G19" s="1128"/>
      <c r="H19" s="1130">
        <f t="shared" si="0"/>
        <v>0</v>
      </c>
      <c r="I19" s="1131">
        <f t="shared" si="1"/>
        <v>0</v>
      </c>
      <c r="J19" s="1127">
        <v>0</v>
      </c>
      <c r="K19" s="1127">
        <v>0</v>
      </c>
      <c r="L19" s="1128"/>
      <c r="M19" s="1131">
        <f t="shared" si="2"/>
        <v>0</v>
      </c>
      <c r="N19" s="395">
        <f t="shared" si="3"/>
        <v>0</v>
      </c>
      <c r="O19" s="1127">
        <v>0</v>
      </c>
      <c r="P19" s="1127">
        <v>0</v>
      </c>
      <c r="Q19" s="1128"/>
      <c r="R19" s="395">
        <f t="shared" si="4"/>
        <v>0</v>
      </c>
      <c r="S19" s="395">
        <f t="shared" si="5"/>
        <v>0</v>
      </c>
      <c r="T19" s="1127">
        <v>0</v>
      </c>
      <c r="U19" s="1127">
        <v>0</v>
      </c>
      <c r="V19" s="1128"/>
      <c r="W19" s="395">
        <f t="shared" si="6"/>
        <v>0</v>
      </c>
      <c r="X19" s="395">
        <f t="shared" si="7"/>
        <v>0</v>
      </c>
      <c r="Y19" s="1132">
        <v>0</v>
      </c>
      <c r="Z19" s="1132">
        <v>0</v>
      </c>
      <c r="AA19" s="1128"/>
      <c r="AB19" s="395">
        <f t="shared" si="8"/>
        <v>0</v>
      </c>
    </row>
    <row r="20" spans="2:28" x14ac:dyDescent="0.3">
      <c r="B20" s="492">
        <f t="shared" si="9"/>
        <v>5</v>
      </c>
      <c r="C20" s="497" t="s">
        <v>863</v>
      </c>
      <c r="D20" s="1127">
        <v>0</v>
      </c>
      <c r="E20" s="1127">
        <v>13.186666666666667</v>
      </c>
      <c r="F20" s="1127">
        <v>0</v>
      </c>
      <c r="G20" s="1128"/>
      <c r="H20" s="1130">
        <f t="shared" si="0"/>
        <v>13.186666666666667</v>
      </c>
      <c r="I20" s="1131">
        <f t="shared" si="1"/>
        <v>13.186666666666667</v>
      </c>
      <c r="J20" s="1127">
        <v>3.5625</v>
      </c>
      <c r="K20" s="1127">
        <v>0</v>
      </c>
      <c r="L20" s="1128"/>
      <c r="M20" s="1131">
        <f t="shared" si="2"/>
        <v>16.749166666666667</v>
      </c>
      <c r="N20" s="395">
        <f t="shared" si="3"/>
        <v>16.749166666666667</v>
      </c>
      <c r="O20" s="1127">
        <v>0</v>
      </c>
      <c r="P20" s="1127">
        <v>0</v>
      </c>
      <c r="Q20" s="1128"/>
      <c r="R20" s="395">
        <f t="shared" si="4"/>
        <v>16.749166666666667</v>
      </c>
      <c r="S20" s="395">
        <f t="shared" si="5"/>
        <v>16.749166666666667</v>
      </c>
      <c r="T20" s="1127">
        <v>0</v>
      </c>
      <c r="U20" s="1127">
        <v>0</v>
      </c>
      <c r="V20" s="1128"/>
      <c r="W20" s="395">
        <f t="shared" si="6"/>
        <v>16.749166666666667</v>
      </c>
      <c r="X20" s="395">
        <f t="shared" si="7"/>
        <v>16.749166666666667</v>
      </c>
      <c r="Y20" s="1132">
        <v>0</v>
      </c>
      <c r="Z20" s="1132">
        <v>0</v>
      </c>
      <c r="AA20" s="1128"/>
      <c r="AB20" s="395">
        <f t="shared" si="8"/>
        <v>16.749166666666667</v>
      </c>
    </row>
    <row r="21" spans="2:28" x14ac:dyDescent="0.3">
      <c r="B21" s="492">
        <f t="shared" si="9"/>
        <v>6</v>
      </c>
      <c r="C21" s="497" t="s">
        <v>254</v>
      </c>
      <c r="D21" s="1127">
        <v>0</v>
      </c>
      <c r="E21" s="1127">
        <v>29.620083333333334</v>
      </c>
      <c r="F21" s="1127">
        <v>0</v>
      </c>
      <c r="G21" s="1128"/>
      <c r="H21" s="1130">
        <f t="shared" si="0"/>
        <v>29.620083333333334</v>
      </c>
      <c r="I21" s="1131">
        <f t="shared" si="1"/>
        <v>29.620083333333334</v>
      </c>
      <c r="J21" s="1127">
        <v>16.734999999999999</v>
      </c>
      <c r="K21" s="1127">
        <v>0</v>
      </c>
      <c r="L21" s="1128"/>
      <c r="M21" s="1131">
        <f t="shared" si="2"/>
        <v>46.355083333333333</v>
      </c>
      <c r="N21" s="395">
        <f t="shared" si="3"/>
        <v>46.355083333333333</v>
      </c>
      <c r="O21" s="1127">
        <v>46.47</v>
      </c>
      <c r="P21" s="1127">
        <v>0</v>
      </c>
      <c r="Q21" s="1128"/>
      <c r="R21" s="395">
        <f t="shared" si="4"/>
        <v>92.825083333333339</v>
      </c>
      <c r="S21" s="395">
        <f t="shared" si="5"/>
        <v>92.825083333333339</v>
      </c>
      <c r="T21" s="1127">
        <v>0</v>
      </c>
      <c r="U21" s="1127">
        <v>0</v>
      </c>
      <c r="V21" s="1128"/>
      <c r="W21" s="395">
        <f t="shared" si="6"/>
        <v>92.825083333333339</v>
      </c>
      <c r="X21" s="395">
        <f t="shared" si="7"/>
        <v>92.825083333333339</v>
      </c>
      <c r="Y21" s="1132">
        <v>35</v>
      </c>
      <c r="Z21" s="1132">
        <v>0</v>
      </c>
      <c r="AA21" s="1128"/>
      <c r="AB21" s="395">
        <f t="shared" si="8"/>
        <v>127.82508333333334</v>
      </c>
    </row>
    <row r="22" spans="2:28" x14ac:dyDescent="0.3">
      <c r="B22" s="492">
        <f t="shared" si="9"/>
        <v>7</v>
      </c>
      <c r="C22" s="497" t="s">
        <v>864</v>
      </c>
      <c r="D22" s="1127">
        <v>0</v>
      </c>
      <c r="E22" s="1127">
        <v>0.41666666666666663</v>
      </c>
      <c r="F22" s="1127">
        <v>0</v>
      </c>
      <c r="G22" s="1134"/>
      <c r="H22" s="1130">
        <f t="shared" si="0"/>
        <v>0.41666666666666663</v>
      </c>
      <c r="I22" s="1131">
        <f t="shared" si="1"/>
        <v>0.41666666666666663</v>
      </c>
      <c r="J22" s="1127">
        <v>0</v>
      </c>
      <c r="K22" s="1127">
        <v>0</v>
      </c>
      <c r="L22" s="1134"/>
      <c r="M22" s="1131">
        <f t="shared" si="2"/>
        <v>0.41666666666666663</v>
      </c>
      <c r="N22" s="395">
        <f t="shared" si="3"/>
        <v>0.41666666666666663</v>
      </c>
      <c r="O22" s="1127">
        <v>0.25</v>
      </c>
      <c r="P22" s="1127">
        <v>0</v>
      </c>
      <c r="Q22" s="1134"/>
      <c r="R22" s="395">
        <f t="shared" si="4"/>
        <v>0.66666666666666663</v>
      </c>
      <c r="S22" s="395">
        <f t="shared" si="5"/>
        <v>0.66666666666666663</v>
      </c>
      <c r="T22" s="1127">
        <v>0</v>
      </c>
      <c r="U22" s="1127">
        <v>0</v>
      </c>
      <c r="V22" s="1134"/>
      <c r="W22" s="395">
        <f t="shared" si="6"/>
        <v>0.66666666666666663</v>
      </c>
      <c r="X22" s="395">
        <f t="shared" si="7"/>
        <v>0.66666666666666663</v>
      </c>
      <c r="Y22" s="1132">
        <v>0</v>
      </c>
      <c r="Z22" s="1132">
        <v>0</v>
      </c>
      <c r="AA22" s="1134"/>
      <c r="AB22" s="395">
        <f t="shared" si="8"/>
        <v>0.66666666666666663</v>
      </c>
    </row>
    <row r="23" spans="2:28" x14ac:dyDescent="0.3">
      <c r="B23" s="492">
        <f t="shared" si="9"/>
        <v>8</v>
      </c>
      <c r="C23" s="497" t="s">
        <v>865</v>
      </c>
      <c r="D23" s="1127">
        <v>0</v>
      </c>
      <c r="E23" s="1127">
        <v>0</v>
      </c>
      <c r="F23" s="1127">
        <v>0</v>
      </c>
      <c r="G23" s="1134"/>
      <c r="H23" s="1130">
        <f t="shared" si="0"/>
        <v>0</v>
      </c>
      <c r="I23" s="1131">
        <f t="shared" si="1"/>
        <v>0</v>
      </c>
      <c r="J23" s="1127">
        <v>0</v>
      </c>
      <c r="K23" s="1127">
        <v>0</v>
      </c>
      <c r="L23" s="1134"/>
      <c r="M23" s="1131">
        <f t="shared" si="2"/>
        <v>0</v>
      </c>
      <c r="N23" s="395">
        <f t="shared" si="3"/>
        <v>0</v>
      </c>
      <c r="O23" s="1127">
        <v>0</v>
      </c>
      <c r="P23" s="1127">
        <v>0</v>
      </c>
      <c r="Q23" s="1134"/>
      <c r="R23" s="395">
        <f t="shared" si="4"/>
        <v>0</v>
      </c>
      <c r="S23" s="395">
        <f t="shared" si="5"/>
        <v>0</v>
      </c>
      <c r="T23" s="1127">
        <v>0</v>
      </c>
      <c r="U23" s="1127">
        <v>0</v>
      </c>
      <c r="V23" s="1134"/>
      <c r="W23" s="395">
        <f t="shared" si="6"/>
        <v>0</v>
      </c>
      <c r="X23" s="395">
        <f t="shared" si="7"/>
        <v>0</v>
      </c>
      <c r="Y23" s="1132">
        <v>0</v>
      </c>
      <c r="Z23" s="1132">
        <v>0</v>
      </c>
      <c r="AA23" s="1134"/>
      <c r="AB23" s="395">
        <f t="shared" si="8"/>
        <v>0</v>
      </c>
    </row>
    <row r="24" spans="2:28" x14ac:dyDescent="0.3">
      <c r="B24" s="492">
        <f t="shared" si="9"/>
        <v>9</v>
      </c>
      <c r="C24" s="497" t="s">
        <v>866</v>
      </c>
      <c r="D24" s="1127">
        <v>0</v>
      </c>
      <c r="E24" s="1127">
        <v>0</v>
      </c>
      <c r="F24" s="1127">
        <v>0</v>
      </c>
      <c r="G24" s="1134"/>
      <c r="H24" s="1130">
        <f t="shared" si="0"/>
        <v>0</v>
      </c>
      <c r="I24" s="1131">
        <f t="shared" si="1"/>
        <v>0</v>
      </c>
      <c r="J24" s="1127">
        <v>4.2125000000000004</v>
      </c>
      <c r="K24" s="1127">
        <v>0</v>
      </c>
      <c r="L24" s="1134"/>
      <c r="M24" s="1131">
        <f t="shared" si="2"/>
        <v>4.2125000000000004</v>
      </c>
      <c r="N24" s="395">
        <f t="shared" si="3"/>
        <v>4.2125000000000004</v>
      </c>
      <c r="O24" s="1127">
        <v>0.25</v>
      </c>
      <c r="P24" s="1127">
        <v>0</v>
      </c>
      <c r="Q24" s="1134"/>
      <c r="R24" s="395">
        <f t="shared" si="4"/>
        <v>4.4625000000000004</v>
      </c>
      <c r="S24" s="395">
        <f t="shared" si="5"/>
        <v>4.4625000000000004</v>
      </c>
      <c r="T24" s="1127">
        <v>0</v>
      </c>
      <c r="U24" s="1127">
        <v>0</v>
      </c>
      <c r="V24" s="1134"/>
      <c r="W24" s="395">
        <f t="shared" si="6"/>
        <v>4.4625000000000004</v>
      </c>
      <c r="X24" s="395">
        <f t="shared" si="7"/>
        <v>4.4625000000000004</v>
      </c>
      <c r="Y24" s="1132">
        <v>0</v>
      </c>
      <c r="Z24" s="1132">
        <v>0</v>
      </c>
      <c r="AA24" s="1134"/>
      <c r="AB24" s="395">
        <f t="shared" si="8"/>
        <v>4.4625000000000004</v>
      </c>
    </row>
    <row r="25" spans="2:28" x14ac:dyDescent="0.3">
      <c r="B25" s="492">
        <f t="shared" si="9"/>
        <v>10</v>
      </c>
      <c r="C25" s="497" t="s">
        <v>258</v>
      </c>
      <c r="D25" s="1127">
        <v>0</v>
      </c>
      <c r="E25" s="1127">
        <v>0</v>
      </c>
      <c r="F25" s="1127">
        <v>0</v>
      </c>
      <c r="G25" s="1134"/>
      <c r="H25" s="1130">
        <f t="shared" si="0"/>
        <v>0</v>
      </c>
      <c r="I25" s="1131">
        <f t="shared" si="1"/>
        <v>0</v>
      </c>
      <c r="J25" s="1127">
        <v>0</v>
      </c>
      <c r="K25" s="1127">
        <v>0</v>
      </c>
      <c r="L25" s="1134"/>
      <c r="M25" s="1131">
        <f t="shared" si="2"/>
        <v>0</v>
      </c>
      <c r="N25" s="395">
        <f t="shared" si="3"/>
        <v>0</v>
      </c>
      <c r="O25" s="1127">
        <v>0</v>
      </c>
      <c r="P25" s="1127">
        <v>0</v>
      </c>
      <c r="Q25" s="1134"/>
      <c r="R25" s="395">
        <f t="shared" si="4"/>
        <v>0</v>
      </c>
      <c r="S25" s="395">
        <f t="shared" si="5"/>
        <v>0</v>
      </c>
      <c r="T25" s="1127">
        <v>0</v>
      </c>
      <c r="U25" s="1127">
        <v>0</v>
      </c>
      <c r="V25" s="1134"/>
      <c r="W25" s="395">
        <f t="shared" si="6"/>
        <v>0</v>
      </c>
      <c r="X25" s="395">
        <f t="shared" si="7"/>
        <v>0</v>
      </c>
      <c r="Y25" s="1132">
        <v>0</v>
      </c>
      <c r="Z25" s="1132">
        <v>0</v>
      </c>
      <c r="AA25" s="1134"/>
      <c r="AB25" s="395">
        <f t="shared" si="8"/>
        <v>0</v>
      </c>
    </row>
    <row r="26" spans="2:28" x14ac:dyDescent="0.3">
      <c r="B26" s="492">
        <f t="shared" si="9"/>
        <v>11</v>
      </c>
      <c r="C26" s="497" t="s">
        <v>259</v>
      </c>
      <c r="D26" s="1127">
        <v>0</v>
      </c>
      <c r="E26" s="1127">
        <v>0</v>
      </c>
      <c r="F26" s="1127">
        <v>0</v>
      </c>
      <c r="G26" s="1134"/>
      <c r="H26" s="1130">
        <f t="shared" si="0"/>
        <v>0</v>
      </c>
      <c r="I26" s="1131">
        <f t="shared" si="1"/>
        <v>0</v>
      </c>
      <c r="J26" s="1127">
        <v>0</v>
      </c>
      <c r="K26" s="1127">
        <v>0</v>
      </c>
      <c r="L26" s="1134"/>
      <c r="M26" s="1131">
        <f t="shared" si="2"/>
        <v>0</v>
      </c>
      <c r="N26" s="395">
        <f t="shared" si="3"/>
        <v>0</v>
      </c>
      <c r="O26" s="1127">
        <v>0</v>
      </c>
      <c r="P26" s="1127">
        <v>0</v>
      </c>
      <c r="Q26" s="1134"/>
      <c r="R26" s="395">
        <f t="shared" si="4"/>
        <v>0</v>
      </c>
      <c r="S26" s="395">
        <f t="shared" si="5"/>
        <v>0</v>
      </c>
      <c r="T26" s="1127">
        <v>0</v>
      </c>
      <c r="U26" s="1127">
        <v>0</v>
      </c>
      <c r="V26" s="1134"/>
      <c r="W26" s="395">
        <f t="shared" si="6"/>
        <v>0</v>
      </c>
      <c r="X26" s="395">
        <f t="shared" si="7"/>
        <v>0</v>
      </c>
      <c r="Y26" s="1132">
        <v>0</v>
      </c>
      <c r="Z26" s="1132">
        <v>0</v>
      </c>
      <c r="AA26" s="1134"/>
      <c r="AB26" s="395">
        <f t="shared" si="8"/>
        <v>0</v>
      </c>
    </row>
    <row r="27" spans="2:28" x14ac:dyDescent="0.3">
      <c r="B27" s="492">
        <f t="shared" si="9"/>
        <v>12</v>
      </c>
      <c r="C27" s="497" t="s">
        <v>260</v>
      </c>
      <c r="D27" s="1127">
        <v>0</v>
      </c>
      <c r="E27" s="1127">
        <v>0</v>
      </c>
      <c r="F27" s="1127">
        <v>0</v>
      </c>
      <c r="G27" s="1134"/>
      <c r="H27" s="1130">
        <f t="shared" si="0"/>
        <v>0</v>
      </c>
      <c r="I27" s="1131">
        <f t="shared" si="1"/>
        <v>0</v>
      </c>
      <c r="J27" s="1127">
        <v>0</v>
      </c>
      <c r="K27" s="1127">
        <v>0</v>
      </c>
      <c r="L27" s="1134"/>
      <c r="M27" s="1131">
        <f t="shared" si="2"/>
        <v>0</v>
      </c>
      <c r="N27" s="395">
        <f t="shared" si="3"/>
        <v>0</v>
      </c>
      <c r="O27" s="1127">
        <v>0</v>
      </c>
      <c r="P27" s="1127">
        <v>0</v>
      </c>
      <c r="Q27" s="1134"/>
      <c r="R27" s="395">
        <f t="shared" si="4"/>
        <v>0</v>
      </c>
      <c r="S27" s="395">
        <f t="shared" si="5"/>
        <v>0</v>
      </c>
      <c r="T27" s="1127">
        <v>0</v>
      </c>
      <c r="U27" s="1127">
        <v>0</v>
      </c>
      <c r="V27" s="1134"/>
      <c r="W27" s="395">
        <f t="shared" si="6"/>
        <v>0</v>
      </c>
      <c r="X27" s="395">
        <f t="shared" si="7"/>
        <v>0</v>
      </c>
      <c r="Y27" s="1132">
        <v>0</v>
      </c>
      <c r="Z27" s="1132">
        <v>0</v>
      </c>
      <c r="AA27" s="1134"/>
      <c r="AB27" s="395">
        <f t="shared" si="8"/>
        <v>0</v>
      </c>
    </row>
    <row r="28" spans="2:28" x14ac:dyDescent="0.3">
      <c r="B28" s="492">
        <f t="shared" si="9"/>
        <v>13</v>
      </c>
      <c r="C28" s="497" t="s">
        <v>874</v>
      </c>
      <c r="D28" s="1127">
        <v>0</v>
      </c>
      <c r="E28" s="1127">
        <v>0</v>
      </c>
      <c r="F28" s="1127">
        <v>0</v>
      </c>
      <c r="G28" s="1134"/>
      <c r="H28" s="1130">
        <f t="shared" si="0"/>
        <v>0</v>
      </c>
      <c r="I28" s="1131">
        <f t="shared" si="1"/>
        <v>0</v>
      </c>
      <c r="J28" s="1127">
        <v>0</v>
      </c>
      <c r="K28" s="1127">
        <v>0</v>
      </c>
      <c r="L28" s="1134"/>
      <c r="M28" s="1131">
        <f t="shared" si="2"/>
        <v>0</v>
      </c>
      <c r="N28" s="395">
        <f t="shared" si="3"/>
        <v>0</v>
      </c>
      <c r="O28" s="1127">
        <v>0</v>
      </c>
      <c r="P28" s="1127">
        <v>0</v>
      </c>
      <c r="Q28" s="1134"/>
      <c r="R28" s="395">
        <f t="shared" si="4"/>
        <v>0</v>
      </c>
      <c r="S28" s="395">
        <f t="shared" si="5"/>
        <v>0</v>
      </c>
      <c r="T28" s="1127">
        <v>0</v>
      </c>
      <c r="U28" s="1127">
        <v>0</v>
      </c>
      <c r="V28" s="1134"/>
      <c r="W28" s="395">
        <f t="shared" si="6"/>
        <v>0</v>
      </c>
      <c r="X28" s="395">
        <f t="shared" si="7"/>
        <v>0</v>
      </c>
      <c r="Y28" s="1132">
        <v>0</v>
      </c>
      <c r="Z28" s="1132">
        <v>0</v>
      </c>
      <c r="AA28" s="1134"/>
      <c r="AB28" s="395">
        <f t="shared" si="8"/>
        <v>0</v>
      </c>
    </row>
    <row r="29" spans="2:28" x14ac:dyDescent="0.3">
      <c r="B29" s="492">
        <f t="shared" si="9"/>
        <v>14</v>
      </c>
      <c r="C29" s="497" t="s">
        <v>875</v>
      </c>
      <c r="D29" s="1127">
        <v>0</v>
      </c>
      <c r="E29" s="1127">
        <v>0</v>
      </c>
      <c r="F29" s="1127">
        <v>0</v>
      </c>
      <c r="G29" s="1134"/>
      <c r="H29" s="1130">
        <f t="shared" si="0"/>
        <v>0</v>
      </c>
      <c r="I29" s="1131">
        <f t="shared" si="1"/>
        <v>0</v>
      </c>
      <c r="J29" s="1127">
        <v>0</v>
      </c>
      <c r="K29" s="1127">
        <v>0</v>
      </c>
      <c r="L29" s="1134"/>
      <c r="M29" s="1131">
        <f t="shared" si="2"/>
        <v>0</v>
      </c>
      <c r="N29" s="395">
        <f t="shared" si="3"/>
        <v>0</v>
      </c>
      <c r="O29" s="1127">
        <v>0</v>
      </c>
      <c r="P29" s="1127">
        <v>0</v>
      </c>
      <c r="Q29" s="1134"/>
      <c r="R29" s="395">
        <f t="shared" si="4"/>
        <v>0</v>
      </c>
      <c r="S29" s="395">
        <f t="shared" si="5"/>
        <v>0</v>
      </c>
      <c r="T29" s="1127">
        <v>0</v>
      </c>
      <c r="U29" s="1127">
        <v>0</v>
      </c>
      <c r="V29" s="1134"/>
      <c r="W29" s="395">
        <f t="shared" si="6"/>
        <v>0</v>
      </c>
      <c r="X29" s="395">
        <f t="shared" si="7"/>
        <v>0</v>
      </c>
      <c r="Y29" s="1132">
        <v>0</v>
      </c>
      <c r="Z29" s="1132">
        <v>0</v>
      </c>
      <c r="AA29" s="1134"/>
      <c r="AB29" s="395">
        <f t="shared" si="8"/>
        <v>0</v>
      </c>
    </row>
    <row r="30" spans="2:28" x14ac:dyDescent="0.3">
      <c r="B30" s="492">
        <f t="shared" si="9"/>
        <v>15</v>
      </c>
      <c r="C30" s="497" t="s">
        <v>876</v>
      </c>
      <c r="D30" s="1127">
        <v>0</v>
      </c>
      <c r="E30" s="1127">
        <v>0</v>
      </c>
      <c r="F30" s="1127">
        <v>0</v>
      </c>
      <c r="G30" s="1134"/>
      <c r="H30" s="1130">
        <f t="shared" si="0"/>
        <v>0</v>
      </c>
      <c r="I30" s="1131">
        <f t="shared" si="1"/>
        <v>0</v>
      </c>
      <c r="J30" s="1127">
        <v>0</v>
      </c>
      <c r="K30" s="1127">
        <v>0</v>
      </c>
      <c r="L30" s="1134"/>
      <c r="M30" s="1131">
        <f t="shared" si="2"/>
        <v>0</v>
      </c>
      <c r="N30" s="395">
        <f t="shared" si="3"/>
        <v>0</v>
      </c>
      <c r="O30" s="1127">
        <v>0</v>
      </c>
      <c r="P30" s="1127">
        <v>0</v>
      </c>
      <c r="Q30" s="1134"/>
      <c r="R30" s="395">
        <f t="shared" si="4"/>
        <v>0</v>
      </c>
      <c r="S30" s="395">
        <f t="shared" si="5"/>
        <v>0</v>
      </c>
      <c r="T30" s="1127">
        <v>0</v>
      </c>
      <c r="U30" s="1127">
        <v>0</v>
      </c>
      <c r="V30" s="1134"/>
      <c r="W30" s="395">
        <f t="shared" si="6"/>
        <v>0</v>
      </c>
      <c r="X30" s="395">
        <f t="shared" si="7"/>
        <v>0</v>
      </c>
      <c r="Y30" s="1132">
        <v>0</v>
      </c>
      <c r="Z30" s="1132">
        <v>0</v>
      </c>
      <c r="AA30" s="1134"/>
      <c r="AB30" s="395">
        <f t="shared" si="8"/>
        <v>0</v>
      </c>
    </row>
    <row r="31" spans="2:28" x14ac:dyDescent="0.3">
      <c r="B31" s="492">
        <f t="shared" si="9"/>
        <v>16</v>
      </c>
      <c r="C31" s="497" t="s">
        <v>867</v>
      </c>
      <c r="D31" s="1127">
        <v>0</v>
      </c>
      <c r="E31" s="1127">
        <v>0</v>
      </c>
      <c r="F31" s="1127">
        <v>0</v>
      </c>
      <c r="G31" s="1134"/>
      <c r="H31" s="1130">
        <f t="shared" si="0"/>
        <v>0</v>
      </c>
      <c r="I31" s="1131">
        <f t="shared" si="1"/>
        <v>0</v>
      </c>
      <c r="J31" s="1127">
        <v>0</v>
      </c>
      <c r="K31" s="1127">
        <v>0</v>
      </c>
      <c r="L31" s="1134"/>
      <c r="M31" s="1131">
        <f t="shared" si="2"/>
        <v>0</v>
      </c>
      <c r="N31" s="395">
        <f t="shared" si="3"/>
        <v>0</v>
      </c>
      <c r="O31" s="1127">
        <v>0</v>
      </c>
      <c r="P31" s="1127">
        <v>0</v>
      </c>
      <c r="Q31" s="1134"/>
      <c r="R31" s="395">
        <f t="shared" si="4"/>
        <v>0</v>
      </c>
      <c r="S31" s="395">
        <f t="shared" si="5"/>
        <v>0</v>
      </c>
      <c r="T31" s="1127">
        <v>0</v>
      </c>
      <c r="U31" s="1127">
        <v>0</v>
      </c>
      <c r="V31" s="1134"/>
      <c r="W31" s="395">
        <f t="shared" si="6"/>
        <v>0</v>
      </c>
      <c r="X31" s="395">
        <f t="shared" si="7"/>
        <v>0</v>
      </c>
      <c r="Y31" s="1132">
        <v>0</v>
      </c>
      <c r="Z31" s="1132">
        <v>0</v>
      </c>
      <c r="AA31" s="1134"/>
      <c r="AB31" s="395">
        <f t="shared" si="8"/>
        <v>0</v>
      </c>
    </row>
    <row r="32" spans="2:28" x14ac:dyDescent="0.3">
      <c r="B32" s="492">
        <f t="shared" si="9"/>
        <v>17</v>
      </c>
      <c r="C32" s="497" t="s">
        <v>877</v>
      </c>
      <c r="D32" s="1127">
        <v>0</v>
      </c>
      <c r="E32" s="1127">
        <v>0.11666666666666665</v>
      </c>
      <c r="F32" s="1127">
        <v>0</v>
      </c>
      <c r="G32" s="1134"/>
      <c r="H32" s="1130">
        <f t="shared" si="0"/>
        <v>0.11666666666666665</v>
      </c>
      <c r="I32" s="1131">
        <f t="shared" si="1"/>
        <v>0.11666666666666665</v>
      </c>
      <c r="J32" s="1127">
        <v>0.15</v>
      </c>
      <c r="K32" s="1127">
        <v>0</v>
      </c>
      <c r="L32" s="1134"/>
      <c r="M32" s="1131">
        <f t="shared" si="2"/>
        <v>0.26666666666666666</v>
      </c>
      <c r="N32" s="395">
        <f t="shared" si="3"/>
        <v>0.26666666666666666</v>
      </c>
      <c r="O32" s="1127">
        <v>0</v>
      </c>
      <c r="P32" s="1127">
        <v>0</v>
      </c>
      <c r="Q32" s="1134"/>
      <c r="R32" s="395">
        <f t="shared" si="4"/>
        <v>0.26666666666666666</v>
      </c>
      <c r="S32" s="395">
        <f t="shared" si="5"/>
        <v>0.26666666666666666</v>
      </c>
      <c r="T32" s="1127">
        <v>0</v>
      </c>
      <c r="U32" s="1127">
        <v>0</v>
      </c>
      <c r="V32" s="1134"/>
      <c r="W32" s="395">
        <f t="shared" si="6"/>
        <v>0.26666666666666666</v>
      </c>
      <c r="X32" s="395">
        <f t="shared" si="7"/>
        <v>0.26666666666666666</v>
      </c>
      <c r="Y32" s="1132">
        <v>0</v>
      </c>
      <c r="Z32" s="1132">
        <v>0</v>
      </c>
      <c r="AA32" s="1134"/>
      <c r="AB32" s="395">
        <f t="shared" si="8"/>
        <v>0.26666666666666666</v>
      </c>
    </row>
    <row r="33" spans="2:32" ht="16" x14ac:dyDescent="0.3">
      <c r="B33" s="84"/>
      <c r="C33" s="99" t="s">
        <v>271</v>
      </c>
      <c r="D33" s="397">
        <f t="shared" ref="D33:G33" si="10">SUM(D16:D32)</f>
        <v>0</v>
      </c>
      <c r="E33" s="397">
        <f t="shared" si="10"/>
        <v>43.756749999999997</v>
      </c>
      <c r="F33" s="397">
        <f t="shared" si="10"/>
        <v>0</v>
      </c>
      <c r="G33" s="397">
        <f t="shared" si="10"/>
        <v>0</v>
      </c>
      <c r="H33" s="397">
        <f>SUM(H16:H32)</f>
        <v>43.756749999999997</v>
      </c>
      <c r="I33" s="397">
        <f t="shared" ref="I33:AB33" si="11">SUM(I16:I32)</f>
        <v>43.756749999999997</v>
      </c>
      <c r="J33" s="397">
        <f t="shared" si="11"/>
        <v>25.284999999999997</v>
      </c>
      <c r="K33" s="397">
        <f t="shared" si="11"/>
        <v>0</v>
      </c>
      <c r="L33" s="397">
        <f t="shared" si="11"/>
        <v>0</v>
      </c>
      <c r="M33" s="397">
        <f t="shared" si="11"/>
        <v>69.041750000000008</v>
      </c>
      <c r="N33" s="397">
        <f t="shared" si="11"/>
        <v>69.041750000000008</v>
      </c>
      <c r="O33" s="397">
        <f t="shared" si="11"/>
        <v>46.97</v>
      </c>
      <c r="P33" s="397">
        <f t="shared" si="11"/>
        <v>0</v>
      </c>
      <c r="Q33" s="397">
        <f t="shared" si="11"/>
        <v>0</v>
      </c>
      <c r="R33" s="397">
        <f t="shared" si="11"/>
        <v>116.01175000000002</v>
      </c>
      <c r="S33" s="397">
        <f t="shared" si="11"/>
        <v>116.01175000000002</v>
      </c>
      <c r="T33" s="397">
        <f t="shared" si="11"/>
        <v>0</v>
      </c>
      <c r="U33" s="397">
        <f t="shared" si="11"/>
        <v>0</v>
      </c>
      <c r="V33" s="397">
        <f t="shared" si="11"/>
        <v>0</v>
      </c>
      <c r="W33" s="397">
        <f t="shared" si="11"/>
        <v>116.01175000000002</v>
      </c>
      <c r="X33" s="397">
        <f t="shared" si="11"/>
        <v>116.01175000000002</v>
      </c>
      <c r="Y33" s="397">
        <f t="shared" si="11"/>
        <v>35</v>
      </c>
      <c r="Z33" s="397">
        <f t="shared" si="11"/>
        <v>0</v>
      </c>
      <c r="AA33" s="397">
        <f t="shared" si="11"/>
        <v>0</v>
      </c>
      <c r="AB33" s="397">
        <f t="shared" si="11"/>
        <v>151.01175000000001</v>
      </c>
      <c r="AC33" s="302"/>
      <c r="AD33" s="302"/>
      <c r="AE33" s="302"/>
      <c r="AF33" s="302"/>
    </row>
    <row r="34" spans="2:32" ht="16" x14ac:dyDescent="0.3">
      <c r="B34" s="302"/>
      <c r="C34" s="302"/>
      <c r="D34" s="302"/>
      <c r="E34" s="302"/>
      <c r="F34" s="302"/>
      <c r="G34" s="302"/>
      <c r="H34" s="302"/>
      <c r="I34" s="302"/>
      <c r="J34" s="302"/>
      <c r="K34" s="302"/>
      <c r="L34" s="302"/>
      <c r="M34" s="302"/>
      <c r="N34" s="302"/>
      <c r="O34" s="302"/>
      <c r="P34" s="302"/>
      <c r="Q34" s="302"/>
      <c r="R34" s="302"/>
      <c r="S34" s="302"/>
      <c r="T34" s="302"/>
    </row>
    <row r="35" spans="2:32" ht="16" x14ac:dyDescent="0.3">
      <c r="B35" s="302"/>
      <c r="C35" s="302"/>
      <c r="D35" s="302"/>
      <c r="E35" s="302"/>
      <c r="F35" s="302"/>
      <c r="G35" s="302"/>
      <c r="H35" s="302"/>
      <c r="I35" s="302"/>
      <c r="J35" s="302"/>
      <c r="K35" s="302"/>
      <c r="L35" s="302"/>
      <c r="M35" s="302"/>
      <c r="N35" s="302"/>
      <c r="O35" s="302"/>
      <c r="P35" s="302"/>
      <c r="Q35" s="302"/>
      <c r="R35" s="302"/>
      <c r="S35" s="302"/>
      <c r="T35" s="302"/>
    </row>
    <row r="37" spans="2:32" x14ac:dyDescent="0.3">
      <c r="B37" s="646" t="s">
        <v>272</v>
      </c>
    </row>
    <row r="38" spans="2:32" ht="15" customHeight="1" x14ac:dyDescent="0.3">
      <c r="B38" s="302"/>
      <c r="C38" s="304"/>
      <c r="D38" s="304"/>
      <c r="E38" s="304"/>
      <c r="F38" s="304"/>
      <c r="G38" s="304"/>
      <c r="H38" s="304"/>
      <c r="I38" s="304"/>
      <c r="J38" s="304"/>
      <c r="K38" s="304"/>
      <c r="L38" s="304"/>
      <c r="M38" s="304"/>
      <c r="N38" s="302"/>
      <c r="O38" s="302"/>
      <c r="P38" s="302"/>
      <c r="Q38" s="302"/>
      <c r="R38" s="302"/>
      <c r="S38" s="302"/>
      <c r="T38" s="302"/>
      <c r="U38" s="302"/>
      <c r="V38" s="302"/>
      <c r="W38" s="302"/>
      <c r="X38" s="302"/>
      <c r="Y38" s="302"/>
      <c r="Z38" s="302"/>
      <c r="AA38" s="302"/>
      <c r="AB38" s="302"/>
    </row>
    <row r="39" spans="2:32" ht="29.4" customHeight="1" x14ac:dyDescent="0.3">
      <c r="B39" s="302"/>
      <c r="C39" s="663"/>
      <c r="D39" s="304"/>
      <c r="E39" s="304"/>
      <c r="F39" s="304"/>
      <c r="G39" s="304"/>
      <c r="H39" s="304"/>
      <c r="I39" s="304"/>
      <c r="J39" s="304"/>
      <c r="K39" s="304"/>
      <c r="L39" s="304"/>
      <c r="M39" s="304"/>
      <c r="N39" s="302"/>
      <c r="O39" s="302"/>
      <c r="P39" s="302"/>
      <c r="Q39" s="302"/>
      <c r="R39" s="302"/>
      <c r="S39" s="302"/>
      <c r="T39" s="302"/>
      <c r="U39" s="302"/>
      <c r="V39" s="302"/>
      <c r="W39" s="297" t="s">
        <v>10</v>
      </c>
      <c r="X39" s="302"/>
      <c r="Y39" s="302"/>
      <c r="Z39" s="302"/>
      <c r="AA39" s="302"/>
      <c r="AB39" s="302"/>
    </row>
    <row r="40" spans="2:32" x14ac:dyDescent="0.3">
      <c r="B40" s="1521" t="s">
        <v>343</v>
      </c>
      <c r="C40" s="1521" t="s">
        <v>37</v>
      </c>
      <c r="D40" s="1664" t="s">
        <v>940</v>
      </c>
      <c r="E40" s="1665"/>
      <c r="F40" s="1665"/>
      <c r="G40" s="1665"/>
      <c r="H40" s="1666"/>
      <c r="I40" s="1648" t="s">
        <v>941</v>
      </c>
      <c r="J40" s="1648"/>
      <c r="K40" s="1648"/>
      <c r="L40" s="1648"/>
      <c r="M40" s="1648"/>
      <c r="N40" s="1648" t="s">
        <v>945</v>
      </c>
      <c r="O40" s="1648"/>
      <c r="P40" s="1648"/>
      <c r="Q40" s="1648"/>
      <c r="R40" s="1648"/>
      <c r="S40" s="1648" t="s">
        <v>942</v>
      </c>
      <c r="T40" s="1648"/>
      <c r="U40" s="1648"/>
      <c r="V40" s="1648"/>
      <c r="W40" s="1648"/>
      <c r="X40" s="1648" t="s">
        <v>944</v>
      </c>
      <c r="Y40" s="1648"/>
      <c r="Z40" s="1648"/>
      <c r="AA40" s="1648"/>
      <c r="AB40" s="1648"/>
    </row>
    <row r="41" spans="2:32" x14ac:dyDescent="0.3">
      <c r="B41" s="1521"/>
      <c r="C41" s="1521"/>
      <c r="D41" s="1652" t="s">
        <v>21</v>
      </c>
      <c r="E41" s="1653"/>
      <c r="F41" s="1653"/>
      <c r="G41" s="1653"/>
      <c r="H41" s="1653"/>
      <c r="I41" s="1652" t="s">
        <v>21</v>
      </c>
      <c r="J41" s="1653"/>
      <c r="K41" s="1653"/>
      <c r="L41" s="1653"/>
      <c r="M41" s="1653"/>
      <c r="N41" s="1652" t="s">
        <v>21</v>
      </c>
      <c r="O41" s="1653"/>
      <c r="P41" s="1653"/>
      <c r="Q41" s="1653"/>
      <c r="R41" s="1653"/>
      <c r="S41" s="1652" t="s">
        <v>21</v>
      </c>
      <c r="T41" s="1653"/>
      <c r="U41" s="1653"/>
      <c r="V41" s="1653"/>
      <c r="W41" s="1653"/>
      <c r="X41" s="1652" t="s">
        <v>21</v>
      </c>
      <c r="Y41" s="1653"/>
      <c r="Z41" s="1653"/>
      <c r="AA41" s="1653"/>
      <c r="AB41" s="1653"/>
    </row>
    <row r="42" spans="2:32" ht="56" x14ac:dyDescent="0.3">
      <c r="B42" s="1521"/>
      <c r="C42" s="1521"/>
      <c r="D42" s="653" t="s">
        <v>273</v>
      </c>
      <c r="E42" s="653" t="s">
        <v>268</v>
      </c>
      <c r="F42" s="303" t="s">
        <v>274</v>
      </c>
      <c r="G42" s="645" t="s">
        <v>601</v>
      </c>
      <c r="H42" s="653" t="s">
        <v>275</v>
      </c>
      <c r="I42" s="653" t="s">
        <v>273</v>
      </c>
      <c r="J42" s="653" t="s">
        <v>268</v>
      </c>
      <c r="K42" s="303" t="s">
        <v>274</v>
      </c>
      <c r="L42" s="645" t="s">
        <v>601</v>
      </c>
      <c r="M42" s="653" t="s">
        <v>275</v>
      </c>
      <c r="N42" s="653" t="s">
        <v>273</v>
      </c>
      <c r="O42" s="653" t="s">
        <v>268</v>
      </c>
      <c r="P42" s="303" t="s">
        <v>274</v>
      </c>
      <c r="Q42" s="645" t="s">
        <v>601</v>
      </c>
      <c r="R42" s="653" t="s">
        <v>275</v>
      </c>
      <c r="S42" s="653" t="s">
        <v>273</v>
      </c>
      <c r="T42" s="653" t="s">
        <v>268</v>
      </c>
      <c r="U42" s="303" t="s">
        <v>274</v>
      </c>
      <c r="V42" s="645" t="s">
        <v>601</v>
      </c>
      <c r="W42" s="653" t="s">
        <v>275</v>
      </c>
      <c r="X42" s="653" t="s">
        <v>273</v>
      </c>
      <c r="Y42" s="653" t="s">
        <v>268</v>
      </c>
      <c r="Z42" s="303" t="s">
        <v>274</v>
      </c>
      <c r="AA42" s="645" t="s">
        <v>601</v>
      </c>
      <c r="AB42" s="653" t="s">
        <v>275</v>
      </c>
    </row>
    <row r="43" spans="2:32" x14ac:dyDescent="0.3">
      <c r="B43" s="298"/>
      <c r="C43" s="298"/>
      <c r="D43" s="298" t="s">
        <v>81</v>
      </c>
      <c r="E43" s="298" t="s">
        <v>82</v>
      </c>
      <c r="F43" s="298" t="s">
        <v>472</v>
      </c>
      <c r="G43" s="298" t="s">
        <v>397</v>
      </c>
      <c r="H43" s="298" t="s">
        <v>602</v>
      </c>
      <c r="I43" s="298" t="s">
        <v>414</v>
      </c>
      <c r="J43" s="298" t="s">
        <v>522</v>
      </c>
      <c r="K43" s="298" t="s">
        <v>415</v>
      </c>
      <c r="L43" s="298" t="s">
        <v>416</v>
      </c>
      <c r="M43" s="298" t="s">
        <v>669</v>
      </c>
      <c r="N43" s="298" t="s">
        <v>603</v>
      </c>
      <c r="O43" s="298" t="s">
        <v>670</v>
      </c>
      <c r="P43" s="298" t="s">
        <v>604</v>
      </c>
      <c r="Q43" s="298" t="s">
        <v>605</v>
      </c>
      <c r="R43" s="298" t="s">
        <v>671</v>
      </c>
      <c r="S43" s="298" t="s">
        <v>606</v>
      </c>
      <c r="T43" s="298" t="s">
        <v>607</v>
      </c>
      <c r="U43" s="298" t="s">
        <v>672</v>
      </c>
      <c r="V43" s="298" t="s">
        <v>608</v>
      </c>
      <c r="W43" s="298" t="s">
        <v>999</v>
      </c>
      <c r="X43" s="298" t="s">
        <v>609</v>
      </c>
      <c r="Y43" s="298" t="s">
        <v>610</v>
      </c>
      <c r="Z43" s="298" t="s">
        <v>611</v>
      </c>
      <c r="AA43" s="298" t="s">
        <v>673</v>
      </c>
      <c r="AB43" s="298" t="s">
        <v>1000</v>
      </c>
    </row>
    <row r="44" spans="2:32" x14ac:dyDescent="0.3">
      <c r="B44" s="492">
        <v>1</v>
      </c>
      <c r="C44" s="497" t="s">
        <v>860</v>
      </c>
      <c r="D44" s="1127">
        <v>0</v>
      </c>
      <c r="E44" s="1125">
        <f>IF((IFERROR(D44/((D16+E16)*90%),0))&lt;70%,MIN((MAX((D16+E16)*90%-D44,0)),(D16+E16/2)*$AC44),MAX((D16+E16)*90%-D44,0)/E$62)</f>
        <v>0</v>
      </c>
      <c r="F44" s="1125">
        <f>IFERROR(IF(D44=0,0,D44/D16*F16),0)</f>
        <v>0</v>
      </c>
      <c r="G44" s="1128"/>
      <c r="H44" s="1125">
        <f>D44+E44-F44-G44</f>
        <v>0</v>
      </c>
      <c r="I44" s="395">
        <f>H44</f>
        <v>0</v>
      </c>
      <c r="J44" s="1125">
        <f>IF((IFERROR(I44/((I16+J16)*90%),0))&lt;70%,MIN((MAX((I16+J16)*90%-I44,0)),(I16+J16/2)*$AC44),MAX((I16+J16)*90%-I44,0)/J$62)</f>
        <v>0</v>
      </c>
      <c r="K44" s="1125">
        <f>IFERROR(IF(I44=0,0,I44/I16*K16),0)</f>
        <v>0</v>
      </c>
      <c r="L44" s="1128"/>
      <c r="M44" s="395">
        <f t="shared" ref="M44:M60" si="12">I44+J44-K44-L44</f>
        <v>0</v>
      </c>
      <c r="N44" s="395">
        <f>M44</f>
        <v>0</v>
      </c>
      <c r="O44" s="1125">
        <f>IF((IFERROR(N44/((N16+O16)*90%),0))&lt;70%,MIN((MAX((N16+O16)*90%-N44,0)),(N16+O16/2)*$AC44),MAX((N16+O16)*90%-N44,0)/O$62)</f>
        <v>0</v>
      </c>
      <c r="P44" s="1125">
        <f>IFERROR(IF(N44=0,0,N44/N16*P16),0)</f>
        <v>0</v>
      </c>
      <c r="Q44" s="1128"/>
      <c r="R44" s="1125">
        <f>N44+O44-P44-Q44</f>
        <v>0</v>
      </c>
      <c r="S44" s="395">
        <f>R44</f>
        <v>0</v>
      </c>
      <c r="T44" s="1125">
        <f>IF((IFERROR(S44/((S16+T16)*90%),0))&lt;70%,MIN((MAX((S16+T16)*90%-S44,0)),(S16+T16/2)*$AC44),MAX((S16+T16)*90%-S44,0)/T$62)</f>
        <v>0</v>
      </c>
      <c r="U44" s="1125">
        <f>IFERROR(IF(S44=0,0,S44/S16*U16),0)</f>
        <v>0</v>
      </c>
      <c r="V44" s="1128"/>
      <c r="W44" s="395">
        <f>S44+T44-U44-V44</f>
        <v>0</v>
      </c>
      <c r="X44" s="395">
        <f>W44</f>
        <v>0</v>
      </c>
      <c r="Y44" s="1125">
        <f>IF((IFERROR(X44/((X16+Y16)*90%),0))&lt;70%,MIN((MAX((X16+Y16)*90%-X44,0)),(X16+Y16/2)*$AC44),MAX((X16+Y16)*90%-X44,0)/Y$62)</f>
        <v>0</v>
      </c>
      <c r="Z44" s="1125">
        <f>IFERROR(IF(X44=0,0,X44/X16*Z16),0)</f>
        <v>0</v>
      </c>
      <c r="AA44" s="1128"/>
      <c r="AB44" s="395"/>
      <c r="AC44" s="937">
        <v>0</v>
      </c>
    </row>
    <row r="45" spans="2:32" x14ac:dyDescent="0.3">
      <c r="B45" s="492">
        <f>B44+1</f>
        <v>2</v>
      </c>
      <c r="C45" s="497" t="s">
        <v>255</v>
      </c>
      <c r="D45" s="1127">
        <v>0</v>
      </c>
      <c r="E45" s="1125">
        <f t="shared" ref="E45:E60" si="13">IF((IFERROR(D45/((D17+E17)*90%),0))&lt;70%,MIN((MAX((D17+E17)*90%-D45,0)),(D17+E17/2)*$AC45),MAX((D17+E17)*90%-D45,0)/E$62)</f>
        <v>0</v>
      </c>
      <c r="F45" s="1125">
        <f t="shared" ref="F45:F60" si="14">IFERROR(IF(D45=0,0,D45/D17*F17),0)</f>
        <v>0</v>
      </c>
      <c r="G45" s="1128"/>
      <c r="H45" s="1125">
        <f>D45+E45-F45-G45</f>
        <v>0</v>
      </c>
      <c r="I45" s="395">
        <f t="shared" ref="I45:I60" si="15">H45</f>
        <v>0</v>
      </c>
      <c r="J45" s="1125">
        <f t="shared" ref="J45:J60" si="16">IF((IFERROR(I45/((I17+J17)*90%),0))&lt;70%,MIN((MAX((I17+J17)*90%-I45,0)),(I17+J17/2)*$AC45),MAX((I17+J17)*90%-I45,0)/J$62)</f>
        <v>0</v>
      </c>
      <c r="K45" s="1125">
        <f t="shared" ref="K45:K60" si="17">IFERROR(IF(I45=0,0,I45/I17*K17),0)</f>
        <v>0</v>
      </c>
      <c r="L45" s="1128"/>
      <c r="M45" s="395">
        <f t="shared" si="12"/>
        <v>0</v>
      </c>
      <c r="N45" s="395">
        <f t="shared" ref="N45:N60" si="18">M45</f>
        <v>0</v>
      </c>
      <c r="O45" s="1125">
        <f t="shared" ref="O45:O60" si="19">IF((IFERROR(N45/((N17+O17)*90%),0))&lt;70%,MIN((MAX((N17+O17)*90%-N45,0)),(N17+O17/2)*$AC45),MAX((N17+O17)*90%-N45,0)/O$62)</f>
        <v>0</v>
      </c>
      <c r="P45" s="1125">
        <f t="shared" ref="P45:P60" si="20">IFERROR(IF(N45=0,0,N45/N17*P17),0)</f>
        <v>0</v>
      </c>
      <c r="Q45" s="1128"/>
      <c r="R45" s="1125">
        <f t="shared" ref="R45:R60" si="21">N45+O45-P45-Q45</f>
        <v>0</v>
      </c>
      <c r="S45" s="395">
        <f t="shared" ref="S45:S60" si="22">R45</f>
        <v>0</v>
      </c>
      <c r="T45" s="1125">
        <f t="shared" ref="T45:T60" si="23">IF((IFERROR(S45/((S17+T17)*90%),0))&lt;70%,MIN((MAX((S17+T17)*90%-S45,0)),(S17+T17/2)*$AC45),MAX((S17+T17)*90%-S45,0)/T$62)</f>
        <v>0</v>
      </c>
      <c r="U45" s="1125">
        <f t="shared" ref="U45:U60" si="24">IFERROR(IF(S45=0,0,S45/S17*U17),0)</f>
        <v>0</v>
      </c>
      <c r="V45" s="1128"/>
      <c r="W45" s="395">
        <f t="shared" ref="W45:W60" si="25">S45+T45-U45-V45</f>
        <v>0</v>
      </c>
      <c r="X45" s="395">
        <f t="shared" ref="X45:X60" si="26">W45</f>
        <v>0</v>
      </c>
      <c r="Y45" s="1125">
        <f t="shared" ref="Y45:Y60" si="27">IF((IFERROR(X45/((X17+Y17)*90%),0))&lt;70%,MIN((MAX((X17+Y17)*90%-X45,0)),(X17+Y17/2)*$AC45),MAX((X17+Y17)*90%-X45,0)/Y$62)</f>
        <v>0</v>
      </c>
      <c r="Z45" s="1125">
        <f t="shared" ref="Z45:Z60" si="28">IFERROR(IF(X45=0,0,X45/X17*Z17),0)</f>
        <v>0</v>
      </c>
      <c r="AA45" s="1128"/>
      <c r="AB45" s="395"/>
      <c r="AC45" s="937">
        <v>3.3399999999999999E-2</v>
      </c>
    </row>
    <row r="46" spans="2:32" x14ac:dyDescent="0.3">
      <c r="B46" s="492">
        <f t="shared" ref="B46:B60" si="29">B45+1</f>
        <v>3</v>
      </c>
      <c r="C46" s="497" t="s">
        <v>861</v>
      </c>
      <c r="D46" s="1127">
        <v>0</v>
      </c>
      <c r="E46" s="1125">
        <f t="shared" si="13"/>
        <v>8.7916666666666664E-3</v>
      </c>
      <c r="F46" s="1125">
        <f t="shared" si="14"/>
        <v>0</v>
      </c>
      <c r="G46" s="1128"/>
      <c r="H46" s="1125">
        <f t="shared" ref="H46:H60" si="30">D46+E46-F46-G46</f>
        <v>8.7916666666666664E-3</v>
      </c>
      <c r="I46" s="395">
        <f t="shared" si="15"/>
        <v>8.7916666666666664E-3</v>
      </c>
      <c r="J46" s="1125">
        <f t="shared" si="16"/>
        <v>3.0770833333333334E-2</v>
      </c>
      <c r="K46" s="1125">
        <f t="shared" si="17"/>
        <v>0</v>
      </c>
      <c r="L46" s="1128"/>
      <c r="M46" s="395">
        <f t="shared" si="12"/>
        <v>3.95625E-2</v>
      </c>
      <c r="N46" s="395">
        <f t="shared" si="18"/>
        <v>3.95625E-2</v>
      </c>
      <c r="O46" s="1125">
        <f t="shared" si="19"/>
        <v>4.3958333333333328E-2</v>
      </c>
      <c r="P46" s="1125">
        <f t="shared" si="20"/>
        <v>0</v>
      </c>
      <c r="Q46" s="1128"/>
      <c r="R46" s="1125">
        <f t="shared" si="21"/>
        <v>8.3520833333333322E-2</v>
      </c>
      <c r="S46" s="395">
        <f t="shared" si="22"/>
        <v>8.3520833333333322E-2</v>
      </c>
      <c r="T46" s="1125">
        <f t="shared" si="23"/>
        <v>4.3958333333333328E-2</v>
      </c>
      <c r="U46" s="1125">
        <f t="shared" si="24"/>
        <v>0</v>
      </c>
      <c r="V46" s="1128"/>
      <c r="W46" s="395">
        <f t="shared" si="25"/>
        <v>0.12747916666666664</v>
      </c>
      <c r="X46" s="395">
        <f t="shared" si="26"/>
        <v>0.12747916666666664</v>
      </c>
      <c r="Y46" s="1125">
        <f t="shared" si="27"/>
        <v>4.3958333333333328E-2</v>
      </c>
      <c r="Z46" s="1125">
        <f t="shared" si="28"/>
        <v>0</v>
      </c>
      <c r="AA46" s="1129"/>
      <c r="AB46" s="395"/>
      <c r="AC46" s="937">
        <v>4.2200000000000001E-2</v>
      </c>
    </row>
    <row r="47" spans="2:32" x14ac:dyDescent="0.3">
      <c r="B47" s="492">
        <f t="shared" si="29"/>
        <v>4</v>
      </c>
      <c r="C47" s="497" t="s">
        <v>862</v>
      </c>
      <c r="D47" s="1127">
        <v>0</v>
      </c>
      <c r="E47" s="1125">
        <f t="shared" si="13"/>
        <v>0</v>
      </c>
      <c r="F47" s="1125">
        <f t="shared" si="14"/>
        <v>0</v>
      </c>
      <c r="G47" s="1128"/>
      <c r="H47" s="1125">
        <f t="shared" si="30"/>
        <v>0</v>
      </c>
      <c r="I47" s="395">
        <f t="shared" si="15"/>
        <v>0</v>
      </c>
      <c r="J47" s="1125">
        <f t="shared" si="16"/>
        <v>0</v>
      </c>
      <c r="K47" s="1125">
        <f t="shared" si="17"/>
        <v>0</v>
      </c>
      <c r="L47" s="1128"/>
      <c r="M47" s="395">
        <f t="shared" si="12"/>
        <v>0</v>
      </c>
      <c r="N47" s="395">
        <f t="shared" si="18"/>
        <v>0</v>
      </c>
      <c r="O47" s="1125">
        <f t="shared" si="19"/>
        <v>0</v>
      </c>
      <c r="P47" s="1125">
        <f t="shared" si="20"/>
        <v>0</v>
      </c>
      <c r="Q47" s="1128"/>
      <c r="R47" s="1125">
        <f t="shared" si="21"/>
        <v>0</v>
      </c>
      <c r="S47" s="395">
        <f t="shared" si="22"/>
        <v>0</v>
      </c>
      <c r="T47" s="1125">
        <f t="shared" si="23"/>
        <v>0</v>
      </c>
      <c r="U47" s="1125">
        <f t="shared" si="24"/>
        <v>0</v>
      </c>
      <c r="V47" s="1128"/>
      <c r="W47" s="395">
        <f t="shared" si="25"/>
        <v>0</v>
      </c>
      <c r="X47" s="395">
        <f t="shared" si="26"/>
        <v>0</v>
      </c>
      <c r="Y47" s="1125">
        <f t="shared" si="27"/>
        <v>0</v>
      </c>
      <c r="Z47" s="1125">
        <f t="shared" si="28"/>
        <v>0</v>
      </c>
      <c r="AA47" s="1128"/>
      <c r="AB47" s="395"/>
      <c r="AC47" s="937">
        <v>4.2200000000000001E-2</v>
      </c>
    </row>
    <row r="48" spans="2:32" x14ac:dyDescent="0.3">
      <c r="B48" s="492">
        <f t="shared" si="29"/>
        <v>5</v>
      </c>
      <c r="C48" s="497" t="s">
        <v>863</v>
      </c>
      <c r="D48" s="1127">
        <v>0</v>
      </c>
      <c r="E48" s="1125">
        <f t="shared" si="13"/>
        <v>0.22021733333333335</v>
      </c>
      <c r="F48" s="1125">
        <f t="shared" si="14"/>
        <v>0</v>
      </c>
      <c r="G48" s="1128"/>
      <c r="H48" s="1125">
        <f t="shared" si="30"/>
        <v>0.22021733333333335</v>
      </c>
      <c r="I48" s="395">
        <f t="shared" si="15"/>
        <v>0.22021733333333335</v>
      </c>
      <c r="J48" s="1125">
        <f t="shared" si="16"/>
        <v>0.49992841666666665</v>
      </c>
      <c r="K48" s="1125">
        <f t="shared" si="17"/>
        <v>0</v>
      </c>
      <c r="L48" s="1128"/>
      <c r="M48" s="395">
        <f t="shared" si="12"/>
        <v>0.72014575000000003</v>
      </c>
      <c r="N48" s="395">
        <f t="shared" si="18"/>
        <v>0.72014575000000003</v>
      </c>
      <c r="O48" s="1125">
        <f t="shared" si="19"/>
        <v>0.55942216666666666</v>
      </c>
      <c r="P48" s="1125">
        <f t="shared" si="20"/>
        <v>0</v>
      </c>
      <c r="Q48" s="1128"/>
      <c r="R48" s="1125">
        <f t="shared" si="21"/>
        <v>1.2795679166666667</v>
      </c>
      <c r="S48" s="395">
        <f t="shared" si="22"/>
        <v>1.2795679166666667</v>
      </c>
      <c r="T48" s="1125">
        <f t="shared" si="23"/>
        <v>0.55942216666666666</v>
      </c>
      <c r="U48" s="1125">
        <f t="shared" si="24"/>
        <v>0</v>
      </c>
      <c r="V48" s="1128"/>
      <c r="W48" s="395">
        <f t="shared" si="25"/>
        <v>1.8389900833333335</v>
      </c>
      <c r="X48" s="395">
        <f t="shared" si="26"/>
        <v>1.8389900833333335</v>
      </c>
      <c r="Y48" s="1125">
        <f t="shared" si="27"/>
        <v>0.55942216666666666</v>
      </c>
      <c r="Z48" s="1125">
        <f t="shared" si="28"/>
        <v>0</v>
      </c>
      <c r="AA48" s="1128"/>
      <c r="AB48" s="395"/>
      <c r="AC48" s="937">
        <v>3.3399999999999999E-2</v>
      </c>
    </row>
    <row r="49" spans="2:29" x14ac:dyDescent="0.3">
      <c r="B49" s="492">
        <f t="shared" si="29"/>
        <v>6</v>
      </c>
      <c r="C49" s="497" t="s">
        <v>254</v>
      </c>
      <c r="D49" s="1127">
        <v>0</v>
      </c>
      <c r="E49" s="1125">
        <f t="shared" si="13"/>
        <v>0.62498375833333331</v>
      </c>
      <c r="F49" s="1125">
        <f t="shared" si="14"/>
        <v>0</v>
      </c>
      <c r="G49" s="1128"/>
      <c r="H49" s="1125">
        <f t="shared" si="30"/>
        <v>0.62498375833333331</v>
      </c>
      <c r="I49" s="395">
        <f t="shared" si="15"/>
        <v>0.62498375833333331</v>
      </c>
      <c r="J49" s="1125">
        <f t="shared" si="16"/>
        <v>1.6030760166666667</v>
      </c>
      <c r="K49" s="1125">
        <f t="shared" si="17"/>
        <v>0</v>
      </c>
      <c r="L49" s="1128"/>
      <c r="M49" s="395">
        <f t="shared" si="12"/>
        <v>2.2280597750000002</v>
      </c>
      <c r="N49" s="395">
        <f t="shared" si="18"/>
        <v>2.2280597750000002</v>
      </c>
      <c r="O49" s="1125">
        <f t="shared" si="19"/>
        <v>2.9367015166666666</v>
      </c>
      <c r="P49" s="1125">
        <f t="shared" si="20"/>
        <v>0</v>
      </c>
      <c r="Q49" s="1128"/>
      <c r="R49" s="1125">
        <f t="shared" si="21"/>
        <v>5.1647612916666663</v>
      </c>
      <c r="S49" s="395">
        <f t="shared" si="22"/>
        <v>5.1647612916666663</v>
      </c>
      <c r="T49" s="1125">
        <f t="shared" si="23"/>
        <v>3.9172185166666669</v>
      </c>
      <c r="U49" s="1125">
        <f t="shared" si="24"/>
        <v>0</v>
      </c>
      <c r="V49" s="1128"/>
      <c r="W49" s="395">
        <f t="shared" si="25"/>
        <v>9.0819798083333332</v>
      </c>
      <c r="X49" s="395">
        <f t="shared" si="26"/>
        <v>9.0819798083333332</v>
      </c>
      <c r="Y49" s="1125">
        <f t="shared" si="27"/>
        <v>4.655718516666667</v>
      </c>
      <c r="Z49" s="1125">
        <f t="shared" si="28"/>
        <v>0</v>
      </c>
      <c r="AA49" s="1128"/>
      <c r="AB49" s="395"/>
      <c r="AC49" s="937">
        <v>4.2200000000000001E-2</v>
      </c>
    </row>
    <row r="50" spans="2:29" x14ac:dyDescent="0.3">
      <c r="B50" s="492">
        <f t="shared" si="29"/>
        <v>7</v>
      </c>
      <c r="C50" s="497" t="s">
        <v>864</v>
      </c>
      <c r="D50" s="1127">
        <v>0</v>
      </c>
      <c r="E50" s="1125">
        <f t="shared" si="13"/>
        <v>1.9791666666666666E-2</v>
      </c>
      <c r="F50" s="1125">
        <f t="shared" si="14"/>
        <v>0</v>
      </c>
      <c r="G50" s="1128"/>
      <c r="H50" s="1125">
        <f t="shared" si="30"/>
        <v>1.9791666666666666E-2</v>
      </c>
      <c r="I50" s="395">
        <f t="shared" si="15"/>
        <v>1.9791666666666666E-2</v>
      </c>
      <c r="J50" s="1125">
        <f t="shared" si="16"/>
        <v>3.9583333333333331E-2</v>
      </c>
      <c r="K50" s="1125">
        <f t="shared" si="17"/>
        <v>0</v>
      </c>
      <c r="L50" s="1128"/>
      <c r="M50" s="395">
        <f t="shared" si="12"/>
        <v>5.9374999999999997E-2</v>
      </c>
      <c r="N50" s="395">
        <f t="shared" si="18"/>
        <v>5.9374999999999997E-2</v>
      </c>
      <c r="O50" s="1125">
        <f t="shared" si="19"/>
        <v>5.1458333333333328E-2</v>
      </c>
      <c r="P50" s="1125">
        <f t="shared" si="20"/>
        <v>0</v>
      </c>
      <c r="Q50" s="1128"/>
      <c r="R50" s="1125">
        <f t="shared" si="21"/>
        <v>0.11083333333333333</v>
      </c>
      <c r="S50" s="395">
        <f t="shared" si="22"/>
        <v>0.11083333333333333</v>
      </c>
      <c r="T50" s="1125">
        <f t="shared" si="23"/>
        <v>6.3333333333333325E-2</v>
      </c>
      <c r="U50" s="1125">
        <f t="shared" si="24"/>
        <v>0</v>
      </c>
      <c r="V50" s="1128"/>
      <c r="W50" s="395">
        <f t="shared" si="25"/>
        <v>0.17416666666666664</v>
      </c>
      <c r="X50" s="395">
        <f t="shared" si="26"/>
        <v>0.17416666666666664</v>
      </c>
      <c r="Y50" s="1125">
        <f t="shared" si="27"/>
        <v>6.3333333333333325E-2</v>
      </c>
      <c r="Z50" s="1125">
        <f t="shared" si="28"/>
        <v>0</v>
      </c>
      <c r="AA50" s="1128"/>
      <c r="AB50" s="395"/>
      <c r="AC50" s="937">
        <v>9.5000000000000001E-2</v>
      </c>
    </row>
    <row r="51" spans="2:29" x14ac:dyDescent="0.3">
      <c r="B51" s="492">
        <f t="shared" si="29"/>
        <v>8</v>
      </c>
      <c r="C51" s="497" t="s">
        <v>865</v>
      </c>
      <c r="D51" s="1127">
        <v>0</v>
      </c>
      <c r="E51" s="1125">
        <f t="shared" si="13"/>
        <v>0</v>
      </c>
      <c r="F51" s="1125">
        <f t="shared" si="14"/>
        <v>0</v>
      </c>
      <c r="G51" s="1128"/>
      <c r="H51" s="1125">
        <f t="shared" si="30"/>
        <v>0</v>
      </c>
      <c r="I51" s="395">
        <f t="shared" si="15"/>
        <v>0</v>
      </c>
      <c r="J51" s="1125">
        <f t="shared" si="16"/>
        <v>0</v>
      </c>
      <c r="K51" s="1125">
        <f t="shared" si="17"/>
        <v>0</v>
      </c>
      <c r="L51" s="1128"/>
      <c r="M51" s="395">
        <f t="shared" si="12"/>
        <v>0</v>
      </c>
      <c r="N51" s="395">
        <f t="shared" si="18"/>
        <v>0</v>
      </c>
      <c r="O51" s="1125">
        <f t="shared" si="19"/>
        <v>0</v>
      </c>
      <c r="P51" s="1125">
        <f t="shared" si="20"/>
        <v>0</v>
      </c>
      <c r="Q51" s="1128"/>
      <c r="R51" s="1125">
        <f t="shared" si="21"/>
        <v>0</v>
      </c>
      <c r="S51" s="395">
        <f t="shared" si="22"/>
        <v>0</v>
      </c>
      <c r="T51" s="1125">
        <f t="shared" si="23"/>
        <v>0</v>
      </c>
      <c r="U51" s="1125">
        <f t="shared" si="24"/>
        <v>0</v>
      </c>
      <c r="V51" s="1128"/>
      <c r="W51" s="395">
        <f t="shared" si="25"/>
        <v>0</v>
      </c>
      <c r="X51" s="395">
        <f t="shared" si="26"/>
        <v>0</v>
      </c>
      <c r="Y51" s="1125">
        <f t="shared" si="27"/>
        <v>0</v>
      </c>
      <c r="Z51" s="1125">
        <f t="shared" si="28"/>
        <v>0</v>
      </c>
      <c r="AA51" s="1128"/>
      <c r="AB51" s="395"/>
      <c r="AC51" s="937">
        <v>9.5000000000000001E-2</v>
      </c>
    </row>
    <row r="52" spans="2:29" x14ac:dyDescent="0.3">
      <c r="B52" s="492">
        <f t="shared" si="29"/>
        <v>9</v>
      </c>
      <c r="C52" s="497" t="s">
        <v>866</v>
      </c>
      <c r="D52" s="1127">
        <v>0</v>
      </c>
      <c r="E52" s="1125">
        <f t="shared" si="13"/>
        <v>0</v>
      </c>
      <c r="F52" s="1125">
        <f t="shared" si="14"/>
        <v>0</v>
      </c>
      <c r="G52" s="1128"/>
      <c r="H52" s="1125">
        <f t="shared" si="30"/>
        <v>0</v>
      </c>
      <c r="I52" s="395">
        <f t="shared" si="15"/>
        <v>0</v>
      </c>
      <c r="J52" s="1125">
        <f t="shared" si="16"/>
        <v>8.8883750000000011E-2</v>
      </c>
      <c r="K52" s="1125">
        <f t="shared" si="17"/>
        <v>0</v>
      </c>
      <c r="L52" s="1128"/>
      <c r="M52" s="395">
        <f t="shared" si="12"/>
        <v>8.8883750000000011E-2</v>
      </c>
      <c r="N52" s="395">
        <f t="shared" si="18"/>
        <v>8.8883750000000011E-2</v>
      </c>
      <c r="O52" s="1125">
        <f t="shared" si="19"/>
        <v>0.18304250000000002</v>
      </c>
      <c r="P52" s="1125">
        <f t="shared" si="20"/>
        <v>0</v>
      </c>
      <c r="Q52" s="1128"/>
      <c r="R52" s="1125">
        <f t="shared" si="21"/>
        <v>0.27192625000000004</v>
      </c>
      <c r="S52" s="395">
        <f t="shared" si="22"/>
        <v>0.27192625000000004</v>
      </c>
      <c r="T52" s="1125">
        <f t="shared" si="23"/>
        <v>0.18831750000000003</v>
      </c>
      <c r="U52" s="1125">
        <f t="shared" si="24"/>
        <v>0</v>
      </c>
      <c r="V52" s="1128"/>
      <c r="W52" s="395">
        <f t="shared" si="25"/>
        <v>0.46024375000000006</v>
      </c>
      <c r="X52" s="395">
        <f t="shared" si="26"/>
        <v>0.46024375000000006</v>
      </c>
      <c r="Y52" s="1125">
        <f t="shared" si="27"/>
        <v>0.18831750000000003</v>
      </c>
      <c r="Z52" s="1125">
        <f t="shared" si="28"/>
        <v>0</v>
      </c>
      <c r="AA52" s="1128"/>
      <c r="AB52" s="395"/>
      <c r="AC52" s="937">
        <v>4.2200000000000001E-2</v>
      </c>
    </row>
    <row r="53" spans="2:29" x14ac:dyDescent="0.3">
      <c r="B53" s="492">
        <f t="shared" si="29"/>
        <v>10</v>
      </c>
      <c r="C53" s="497" t="s">
        <v>258</v>
      </c>
      <c r="D53" s="1127">
        <v>0</v>
      </c>
      <c r="E53" s="1125">
        <f t="shared" si="13"/>
        <v>0</v>
      </c>
      <c r="F53" s="1125">
        <f t="shared" si="14"/>
        <v>0</v>
      </c>
      <c r="G53" s="1128"/>
      <c r="H53" s="1125">
        <f t="shared" si="30"/>
        <v>0</v>
      </c>
      <c r="I53" s="395">
        <f t="shared" si="15"/>
        <v>0</v>
      </c>
      <c r="J53" s="1125">
        <f t="shared" si="16"/>
        <v>0</v>
      </c>
      <c r="K53" s="1125">
        <f t="shared" si="17"/>
        <v>0</v>
      </c>
      <c r="L53" s="1128"/>
      <c r="M53" s="395">
        <f t="shared" si="12"/>
        <v>0</v>
      </c>
      <c r="N53" s="395">
        <f t="shared" si="18"/>
        <v>0</v>
      </c>
      <c r="O53" s="1125">
        <f t="shared" si="19"/>
        <v>0</v>
      </c>
      <c r="P53" s="1125">
        <f t="shared" si="20"/>
        <v>0</v>
      </c>
      <c r="Q53" s="1128"/>
      <c r="R53" s="1125">
        <f t="shared" si="21"/>
        <v>0</v>
      </c>
      <c r="S53" s="395">
        <f t="shared" si="22"/>
        <v>0</v>
      </c>
      <c r="T53" s="1125">
        <f t="shared" si="23"/>
        <v>0</v>
      </c>
      <c r="U53" s="1125">
        <f t="shared" si="24"/>
        <v>0</v>
      </c>
      <c r="V53" s="1128"/>
      <c r="W53" s="395">
        <f t="shared" si="25"/>
        <v>0</v>
      </c>
      <c r="X53" s="395">
        <f t="shared" si="26"/>
        <v>0</v>
      </c>
      <c r="Y53" s="1125">
        <f t="shared" si="27"/>
        <v>0</v>
      </c>
      <c r="Z53" s="1125">
        <f t="shared" si="28"/>
        <v>0</v>
      </c>
      <c r="AA53" s="1128"/>
      <c r="AB53" s="395"/>
      <c r="AC53" s="937">
        <v>9.5000000000000001E-2</v>
      </c>
    </row>
    <row r="54" spans="2:29" x14ac:dyDescent="0.3">
      <c r="B54" s="492">
        <f t="shared" si="29"/>
        <v>11</v>
      </c>
      <c r="C54" s="497" t="s">
        <v>259</v>
      </c>
      <c r="D54" s="1127">
        <v>0</v>
      </c>
      <c r="E54" s="1125">
        <f t="shared" si="13"/>
        <v>0</v>
      </c>
      <c r="F54" s="1125">
        <f t="shared" si="14"/>
        <v>0</v>
      </c>
      <c r="G54" s="1128"/>
      <c r="H54" s="1125">
        <f t="shared" si="30"/>
        <v>0</v>
      </c>
      <c r="I54" s="395">
        <f t="shared" si="15"/>
        <v>0</v>
      </c>
      <c r="J54" s="1125">
        <f t="shared" si="16"/>
        <v>0</v>
      </c>
      <c r="K54" s="1125">
        <f t="shared" si="17"/>
        <v>0</v>
      </c>
      <c r="L54" s="1128"/>
      <c r="M54" s="395">
        <f t="shared" si="12"/>
        <v>0</v>
      </c>
      <c r="N54" s="395">
        <f t="shared" si="18"/>
        <v>0</v>
      </c>
      <c r="O54" s="1125">
        <f t="shared" si="19"/>
        <v>0</v>
      </c>
      <c r="P54" s="1125">
        <f t="shared" si="20"/>
        <v>0</v>
      </c>
      <c r="Q54" s="1128"/>
      <c r="R54" s="1125">
        <f t="shared" si="21"/>
        <v>0</v>
      </c>
      <c r="S54" s="395">
        <f t="shared" si="22"/>
        <v>0</v>
      </c>
      <c r="T54" s="1125">
        <f t="shared" si="23"/>
        <v>0</v>
      </c>
      <c r="U54" s="1125">
        <f t="shared" si="24"/>
        <v>0</v>
      </c>
      <c r="V54" s="1128"/>
      <c r="W54" s="395">
        <f t="shared" si="25"/>
        <v>0</v>
      </c>
      <c r="X54" s="395">
        <f t="shared" si="26"/>
        <v>0</v>
      </c>
      <c r="Y54" s="1125">
        <f t="shared" si="27"/>
        <v>0</v>
      </c>
      <c r="Z54" s="1125">
        <f t="shared" si="28"/>
        <v>0</v>
      </c>
      <c r="AA54" s="1128"/>
      <c r="AB54" s="395"/>
      <c r="AC54" s="937">
        <v>6.3299999999999995E-2</v>
      </c>
    </row>
    <row r="55" spans="2:29" x14ac:dyDescent="0.3">
      <c r="B55" s="492">
        <f t="shared" si="29"/>
        <v>12</v>
      </c>
      <c r="C55" s="497" t="s">
        <v>260</v>
      </c>
      <c r="D55" s="1127">
        <v>0</v>
      </c>
      <c r="E55" s="1125">
        <f t="shared" si="13"/>
        <v>0</v>
      </c>
      <c r="F55" s="1125">
        <f t="shared" si="14"/>
        <v>0</v>
      </c>
      <c r="G55" s="1129"/>
      <c r="H55" s="1125">
        <f t="shared" si="30"/>
        <v>0</v>
      </c>
      <c r="I55" s="395">
        <f t="shared" si="15"/>
        <v>0</v>
      </c>
      <c r="J55" s="1125">
        <f t="shared" si="16"/>
        <v>0</v>
      </c>
      <c r="K55" s="1125">
        <f t="shared" si="17"/>
        <v>0</v>
      </c>
      <c r="L55" s="1128"/>
      <c r="M55" s="395">
        <f t="shared" si="12"/>
        <v>0</v>
      </c>
      <c r="N55" s="395">
        <f t="shared" si="18"/>
        <v>0</v>
      </c>
      <c r="O55" s="1125">
        <f t="shared" si="19"/>
        <v>0</v>
      </c>
      <c r="P55" s="1125">
        <f t="shared" si="20"/>
        <v>0</v>
      </c>
      <c r="Q55" s="1128"/>
      <c r="R55" s="1125">
        <f t="shared" si="21"/>
        <v>0</v>
      </c>
      <c r="S55" s="395">
        <f t="shared" si="22"/>
        <v>0</v>
      </c>
      <c r="T55" s="1125">
        <f t="shared" si="23"/>
        <v>0</v>
      </c>
      <c r="U55" s="1125">
        <f t="shared" si="24"/>
        <v>0</v>
      </c>
      <c r="V55" s="1128"/>
      <c r="W55" s="395">
        <f t="shared" si="25"/>
        <v>0</v>
      </c>
      <c r="X55" s="395">
        <f t="shared" si="26"/>
        <v>0</v>
      </c>
      <c r="Y55" s="1125">
        <f t="shared" si="27"/>
        <v>0</v>
      </c>
      <c r="Z55" s="1125">
        <f t="shared" si="28"/>
        <v>0</v>
      </c>
      <c r="AA55" s="1128"/>
      <c r="AB55" s="395"/>
      <c r="AC55" s="937">
        <v>6.3299999999999995E-2</v>
      </c>
    </row>
    <row r="56" spans="2:29" x14ac:dyDescent="0.3">
      <c r="B56" s="492">
        <f t="shared" si="29"/>
        <v>13</v>
      </c>
      <c r="C56" s="497" t="s">
        <v>874</v>
      </c>
      <c r="D56" s="1127">
        <v>0</v>
      </c>
      <c r="E56" s="1125">
        <f t="shared" si="13"/>
        <v>0</v>
      </c>
      <c r="F56" s="1125">
        <f t="shared" si="14"/>
        <v>0</v>
      </c>
      <c r="G56" s="1129"/>
      <c r="H56" s="1125">
        <f t="shared" si="30"/>
        <v>0</v>
      </c>
      <c r="I56" s="395">
        <f t="shared" si="15"/>
        <v>0</v>
      </c>
      <c r="J56" s="1125">
        <f t="shared" si="16"/>
        <v>0</v>
      </c>
      <c r="K56" s="1125">
        <f t="shared" si="17"/>
        <v>0</v>
      </c>
      <c r="L56" s="1128"/>
      <c r="M56" s="395">
        <f t="shared" si="12"/>
        <v>0</v>
      </c>
      <c r="N56" s="395">
        <f t="shared" si="18"/>
        <v>0</v>
      </c>
      <c r="O56" s="1125">
        <f t="shared" si="19"/>
        <v>0</v>
      </c>
      <c r="P56" s="1125">
        <f t="shared" si="20"/>
        <v>0</v>
      </c>
      <c r="Q56" s="1128"/>
      <c r="R56" s="1125">
        <f t="shared" si="21"/>
        <v>0</v>
      </c>
      <c r="S56" s="395">
        <f t="shared" si="22"/>
        <v>0</v>
      </c>
      <c r="T56" s="1125">
        <f t="shared" si="23"/>
        <v>0</v>
      </c>
      <c r="U56" s="1125">
        <f t="shared" si="24"/>
        <v>0</v>
      </c>
      <c r="V56" s="1128"/>
      <c r="W56" s="395">
        <f t="shared" si="25"/>
        <v>0</v>
      </c>
      <c r="X56" s="395">
        <f t="shared" si="26"/>
        <v>0</v>
      </c>
      <c r="Y56" s="1125">
        <f t="shared" si="27"/>
        <v>0</v>
      </c>
      <c r="Z56" s="1125">
        <f t="shared" si="28"/>
        <v>0</v>
      </c>
      <c r="AA56" s="1128"/>
      <c r="AB56" s="395"/>
      <c r="AC56" s="937">
        <v>6.3299999999999995E-2</v>
      </c>
    </row>
    <row r="57" spans="2:29" x14ac:dyDescent="0.3">
      <c r="B57" s="492">
        <f t="shared" si="29"/>
        <v>14</v>
      </c>
      <c r="C57" s="497" t="s">
        <v>875</v>
      </c>
      <c r="D57" s="1127">
        <v>0</v>
      </c>
      <c r="E57" s="1125">
        <f>IF((IFERROR(D57/((D29+E29)*100%),0))&lt;70%,MIN((MAX((D29+E29)*100%-D57,0)),(D29+E29/2)*$AC57),MAX((D29+E29)*100%-D57,0)/E$62)</f>
        <v>0</v>
      </c>
      <c r="F57" s="1125">
        <f t="shared" si="14"/>
        <v>0</v>
      </c>
      <c r="G57" s="1129"/>
      <c r="H57" s="1125">
        <f t="shared" si="30"/>
        <v>0</v>
      </c>
      <c r="I57" s="395">
        <f t="shared" si="15"/>
        <v>0</v>
      </c>
      <c r="J57" s="1125">
        <f>IF((IFERROR(I57/((I29+J29)*100%),0))&lt;70%,MIN((MAX((I29+J29)*100%-I57,0)),(I29+J29/2)*$AC57),MAX((I29+J29)*100%-I57,0)/J$62)</f>
        <v>0</v>
      </c>
      <c r="K57" s="1125">
        <f t="shared" si="17"/>
        <v>0</v>
      </c>
      <c r="L57" s="1128"/>
      <c r="M57" s="395">
        <f t="shared" si="12"/>
        <v>0</v>
      </c>
      <c r="N57" s="395">
        <f t="shared" si="18"/>
        <v>0</v>
      </c>
      <c r="O57" s="1125">
        <f>IF((IFERROR(N57/((N29+O29)*100%),0))&lt;70%,MIN((MAX((N29+O29)*100%-N57,0)),(N29+O29/2)*$AC57),MAX((N29+O29)*100%-N57,0)/O$62)</f>
        <v>0</v>
      </c>
      <c r="P57" s="1125">
        <f t="shared" si="20"/>
        <v>0</v>
      </c>
      <c r="Q57" s="1128"/>
      <c r="R57" s="1125">
        <f t="shared" si="21"/>
        <v>0</v>
      </c>
      <c r="S57" s="395">
        <f t="shared" si="22"/>
        <v>0</v>
      </c>
      <c r="T57" s="1125">
        <f>IF((IFERROR(S57/((S29+T29)*100%),0))&lt;70%,MIN((MAX((S29+T29)*100%-S57,0)),(S29+T29/2)*$AC57),MAX((S29+T29)*100%-S57,0)/T$62)</f>
        <v>0</v>
      </c>
      <c r="U57" s="1125">
        <f t="shared" si="24"/>
        <v>0</v>
      </c>
      <c r="V57" s="1128"/>
      <c r="W57" s="395">
        <f t="shared" si="25"/>
        <v>0</v>
      </c>
      <c r="X57" s="395">
        <f t="shared" si="26"/>
        <v>0</v>
      </c>
      <c r="Y57" s="1125">
        <f>IF((IFERROR(X57/((X29+Y29)*100%),0))&lt;70%,MIN((MAX((X29+Y29)*100%-X57,0)),(X29+Y29/2)*$AC57),MAX((X29+Y29)*100%-X57,0)/Y$62)</f>
        <v>0</v>
      </c>
      <c r="Z57" s="1125">
        <f t="shared" si="28"/>
        <v>0</v>
      </c>
      <c r="AA57" s="1128"/>
      <c r="AB57" s="395"/>
      <c r="AC57" s="937">
        <v>0.15</v>
      </c>
    </row>
    <row r="58" spans="2:29" x14ac:dyDescent="0.3">
      <c r="B58" s="492">
        <f t="shared" si="29"/>
        <v>15</v>
      </c>
      <c r="C58" s="497" t="s">
        <v>876</v>
      </c>
      <c r="D58" s="1127">
        <v>0</v>
      </c>
      <c r="E58" s="1125">
        <f>IF((IFERROR(D58/((D30+E30)*100%),0))&lt;70%,MIN((MAX((D30+E30)*100%-D58,0)),(D30+E30/2)*$AC58),MAX((D30+E30)*100%-D58,0)/E$62)</f>
        <v>0</v>
      </c>
      <c r="F58" s="1125">
        <f t="shared" si="14"/>
        <v>0</v>
      </c>
      <c r="G58" s="1129"/>
      <c r="H58" s="1125">
        <f t="shared" si="30"/>
        <v>0</v>
      </c>
      <c r="I58" s="395">
        <f t="shared" si="15"/>
        <v>0</v>
      </c>
      <c r="J58" s="1125">
        <f>IF((IFERROR(I58/((I30+J30)*100%),0))&lt;70%,MIN((MAX((I30+J30)*100%-I58,0)),(I30+J30/2)*$AC58),MAX((I30+J30)*100%-I58,0)/J$62)</f>
        <v>0</v>
      </c>
      <c r="K58" s="1125">
        <f t="shared" si="17"/>
        <v>0</v>
      </c>
      <c r="L58" s="1128"/>
      <c r="M58" s="395">
        <f t="shared" si="12"/>
        <v>0</v>
      </c>
      <c r="N58" s="395">
        <f t="shared" si="18"/>
        <v>0</v>
      </c>
      <c r="O58" s="1125">
        <f>IF((IFERROR(N58/((N30+O30)*100%),0))&lt;70%,MIN((MAX((N30+O30)*100%-N58,0)),(N30+O30/2)*$AC58),MAX((N30+O30)*100%-N58,0)/O$62)</f>
        <v>0</v>
      </c>
      <c r="P58" s="1125">
        <f t="shared" si="20"/>
        <v>0</v>
      </c>
      <c r="Q58" s="1128"/>
      <c r="R58" s="1125">
        <f t="shared" si="21"/>
        <v>0</v>
      </c>
      <c r="S58" s="395">
        <f t="shared" si="22"/>
        <v>0</v>
      </c>
      <c r="T58" s="1125">
        <f>IF((IFERROR(S58/((S30+T30)*100%),0))&lt;70%,MIN((MAX((S30+T30)*100%-S58,0)),(S30+T30/2)*$AC58),MAX((S30+T30)*100%-S58,0)/T$62)</f>
        <v>0</v>
      </c>
      <c r="U58" s="1125">
        <f t="shared" si="24"/>
        <v>0</v>
      </c>
      <c r="V58" s="1128"/>
      <c r="W58" s="395">
        <f t="shared" si="25"/>
        <v>0</v>
      </c>
      <c r="X58" s="395">
        <f t="shared" si="26"/>
        <v>0</v>
      </c>
      <c r="Y58" s="1125">
        <f>IF((IFERROR(X58/((X30+Y30)*100%),0))&lt;70%,MIN((MAX((X30+Y30)*100%-X58,0)),(X30+Y30/2)*$AC58),MAX((X30+Y30)*100%-X58,0)/Y$62)</f>
        <v>0</v>
      </c>
      <c r="Z58" s="1125">
        <f t="shared" si="28"/>
        <v>0</v>
      </c>
      <c r="AA58" s="1128"/>
      <c r="AB58" s="395"/>
      <c r="AC58" s="937">
        <v>0.15</v>
      </c>
    </row>
    <row r="59" spans="2:29" x14ac:dyDescent="0.3">
      <c r="B59" s="492">
        <f t="shared" si="29"/>
        <v>16</v>
      </c>
      <c r="C59" s="497" t="s">
        <v>867</v>
      </c>
      <c r="D59" s="1127">
        <v>0</v>
      </c>
      <c r="E59" s="1125">
        <f>IF((IFERROR(D59/((D31+E31)*100%),0))&lt;70%,MIN((MAX((D31+E31)*100%-D59,0)),(D31+E31/2)*$AC59),MAX((D31+E31)*100%-D59,0)/E$62)</f>
        <v>0</v>
      </c>
      <c r="F59" s="1125">
        <f t="shared" si="14"/>
        <v>0</v>
      </c>
      <c r="G59" s="1128"/>
      <c r="H59" s="1125">
        <f t="shared" si="30"/>
        <v>0</v>
      </c>
      <c r="I59" s="395">
        <f t="shared" si="15"/>
        <v>0</v>
      </c>
      <c r="J59" s="1125">
        <f>IF((IFERROR(I59/((I31+J31)*100%),0))&lt;70%,MIN((MAX((I31+J31)*100%-I59,0)),(I31+J31/2)*$AC59),MAX((I31+J31)*100%-I59,0)/J$62)</f>
        <v>0</v>
      </c>
      <c r="K59" s="1125">
        <f t="shared" si="17"/>
        <v>0</v>
      </c>
      <c r="L59" s="1128"/>
      <c r="M59" s="395">
        <f t="shared" si="12"/>
        <v>0</v>
      </c>
      <c r="N59" s="395">
        <f t="shared" si="18"/>
        <v>0</v>
      </c>
      <c r="O59" s="1125">
        <f>IF((IFERROR(N59/((N31+O31)*100%),0))&lt;70%,MIN((MAX((N31+O31)*100%-N59,0)),(N31+O31/2)*$AC59),MAX((N31+O31)*100%-N59,0)/O$62)</f>
        <v>0</v>
      </c>
      <c r="P59" s="1125">
        <f t="shared" si="20"/>
        <v>0</v>
      </c>
      <c r="Q59" s="1128"/>
      <c r="R59" s="1125">
        <f t="shared" si="21"/>
        <v>0</v>
      </c>
      <c r="S59" s="395">
        <f t="shared" si="22"/>
        <v>0</v>
      </c>
      <c r="T59" s="1125">
        <f>IF((IFERROR(S59/((S31+T31)*100%),0))&lt;70%,MIN((MAX((S31+T31)*100%-S59,0)),(S31+T31/2)*$AC59),MAX((S31+T31)*100%-S59,0)/T$62)</f>
        <v>0</v>
      </c>
      <c r="U59" s="1125">
        <f t="shared" si="24"/>
        <v>0</v>
      </c>
      <c r="V59" s="1128"/>
      <c r="W59" s="395">
        <f t="shared" si="25"/>
        <v>0</v>
      </c>
      <c r="X59" s="395">
        <f t="shared" si="26"/>
        <v>0</v>
      </c>
      <c r="Y59" s="1125">
        <f>IF((IFERROR(X59/((X31+Y31)*100%),0))&lt;70%,MIN((MAX((X31+Y31)*100%-X59,0)),(X31+Y31/2)*$AC59),MAX((X31+Y31)*100%-X59,0)/Y$62)</f>
        <v>0</v>
      </c>
      <c r="Z59" s="1125">
        <f t="shared" si="28"/>
        <v>0</v>
      </c>
      <c r="AA59" s="1128"/>
      <c r="AB59" s="395"/>
      <c r="AC59" s="937">
        <v>0.15</v>
      </c>
    </row>
    <row r="60" spans="2:29" x14ac:dyDescent="0.3">
      <c r="B60" s="492">
        <f t="shared" si="29"/>
        <v>17</v>
      </c>
      <c r="C60" s="497" t="s">
        <v>877</v>
      </c>
      <c r="D60" s="1127">
        <v>0</v>
      </c>
      <c r="E60" s="1125">
        <f t="shared" si="13"/>
        <v>1.9483333333333332E-3</v>
      </c>
      <c r="F60" s="1125">
        <f t="shared" si="14"/>
        <v>0</v>
      </c>
      <c r="G60" s="1128"/>
      <c r="H60" s="1125">
        <f t="shared" si="30"/>
        <v>1.9483333333333332E-3</v>
      </c>
      <c r="I60" s="395">
        <f t="shared" si="15"/>
        <v>1.9483333333333332E-3</v>
      </c>
      <c r="J60" s="1125">
        <f t="shared" si="16"/>
        <v>6.4016666666666657E-3</v>
      </c>
      <c r="K60" s="1125">
        <f t="shared" si="17"/>
        <v>0</v>
      </c>
      <c r="L60" s="1128"/>
      <c r="M60" s="395">
        <f t="shared" si="12"/>
        <v>8.3499999999999998E-3</v>
      </c>
      <c r="N60" s="395">
        <f t="shared" si="18"/>
        <v>8.3499999999999998E-3</v>
      </c>
      <c r="O60" s="1125">
        <f t="shared" si="19"/>
        <v>8.9066666666666669E-3</v>
      </c>
      <c r="P60" s="1125">
        <f t="shared" si="20"/>
        <v>0</v>
      </c>
      <c r="Q60" s="1128"/>
      <c r="R60" s="1125">
        <f t="shared" si="21"/>
        <v>1.7256666666666667E-2</v>
      </c>
      <c r="S60" s="395">
        <f t="shared" si="22"/>
        <v>1.7256666666666667E-2</v>
      </c>
      <c r="T60" s="1125">
        <f t="shared" si="23"/>
        <v>8.9066666666666669E-3</v>
      </c>
      <c r="U60" s="1125">
        <f t="shared" si="24"/>
        <v>0</v>
      </c>
      <c r="V60" s="1128"/>
      <c r="W60" s="395">
        <f t="shared" si="25"/>
        <v>2.6163333333333334E-2</v>
      </c>
      <c r="X60" s="395">
        <f t="shared" si="26"/>
        <v>2.6163333333333334E-2</v>
      </c>
      <c r="Y60" s="1125">
        <f t="shared" si="27"/>
        <v>8.9066666666666669E-3</v>
      </c>
      <c r="Z60" s="1125">
        <f t="shared" si="28"/>
        <v>0</v>
      </c>
      <c r="AA60" s="1128"/>
      <c r="AB60" s="395"/>
      <c r="AC60" s="937">
        <v>3.3399999999999999E-2</v>
      </c>
    </row>
    <row r="61" spans="2:29" ht="16" x14ac:dyDescent="0.3">
      <c r="B61" s="84"/>
      <c r="C61" s="99" t="s">
        <v>271</v>
      </c>
      <c r="D61" s="99"/>
      <c r="E61" s="485">
        <f>SUM(E44:E60)</f>
        <v>0.87573275833333331</v>
      </c>
      <c r="F61" s="485">
        <f t="shared" ref="F61:X61" si="31">SUM(F44:F60)</f>
        <v>0</v>
      </c>
      <c r="G61" s="485">
        <f t="shared" si="31"/>
        <v>0</v>
      </c>
      <c r="H61" s="485">
        <f t="shared" si="31"/>
        <v>0.87573275833333331</v>
      </c>
      <c r="I61" s="485">
        <f t="shared" si="31"/>
        <v>0.87573275833333331</v>
      </c>
      <c r="J61" s="485">
        <f>SUM(J44:J60)</f>
        <v>2.2686440166666664</v>
      </c>
      <c r="K61" s="485">
        <f t="shared" si="31"/>
        <v>0</v>
      </c>
      <c r="L61" s="485">
        <f t="shared" si="31"/>
        <v>0</v>
      </c>
      <c r="M61" s="485">
        <f t="shared" si="31"/>
        <v>3.1443767750000005</v>
      </c>
      <c r="N61" s="485">
        <f t="shared" si="31"/>
        <v>3.1443767750000005</v>
      </c>
      <c r="O61" s="485">
        <f>SUM(O44:O60)</f>
        <v>3.7834895166666667</v>
      </c>
      <c r="P61" s="485">
        <f t="shared" ref="P61" si="32">SUM(P44:P60)</f>
        <v>0</v>
      </c>
      <c r="Q61" s="485">
        <f t="shared" si="31"/>
        <v>0</v>
      </c>
      <c r="R61" s="485">
        <f t="shared" si="31"/>
        <v>6.9278662916666658</v>
      </c>
      <c r="S61" s="485">
        <f t="shared" si="31"/>
        <v>6.9278662916666658</v>
      </c>
      <c r="T61" s="485">
        <f>SUM(T44:T60)</f>
        <v>4.781156516666667</v>
      </c>
      <c r="U61" s="485">
        <f t="shared" ref="U61" si="33">SUM(U44:U60)</f>
        <v>0</v>
      </c>
      <c r="V61" s="485">
        <f t="shared" si="31"/>
        <v>0</v>
      </c>
      <c r="W61" s="485">
        <f t="shared" si="31"/>
        <v>11.709022808333332</v>
      </c>
      <c r="X61" s="485">
        <f t="shared" si="31"/>
        <v>11.709022808333332</v>
      </c>
      <c r="Y61" s="84"/>
      <c r="Z61" s="84"/>
      <c r="AA61" s="662"/>
      <c r="AB61" s="84"/>
      <c r="AC61" s="937">
        <v>0</v>
      </c>
    </row>
    <row r="62" spans="2:29" ht="16" x14ac:dyDescent="0.3">
      <c r="B62" s="302"/>
      <c r="C62" s="304"/>
      <c r="D62" s="304"/>
      <c r="E62" s="664">
        <f>'F5'!T86</f>
        <v>5</v>
      </c>
      <c r="F62" s="304"/>
      <c r="G62" s="304"/>
      <c r="H62" s="304"/>
      <c r="J62" s="664">
        <f>E62-1</f>
        <v>4</v>
      </c>
      <c r="K62" s="302"/>
      <c r="L62" s="302"/>
      <c r="M62" s="302"/>
      <c r="O62" s="664">
        <f>J62-1</f>
        <v>3</v>
      </c>
      <c r="P62" s="302"/>
      <c r="Q62" s="302"/>
      <c r="R62" s="302"/>
      <c r="T62" s="664">
        <f>O62-1</f>
        <v>2</v>
      </c>
      <c r="U62" s="665"/>
      <c r="V62" s="665"/>
      <c r="X62" s="302"/>
      <c r="Y62" s="664">
        <f>T62-1</f>
        <v>1</v>
      </c>
      <c r="Z62" s="302"/>
      <c r="AA62" s="302"/>
      <c r="AB62" s="302"/>
    </row>
    <row r="64" spans="2:29" x14ac:dyDescent="0.3">
      <c r="B64" s="646" t="s">
        <v>344</v>
      </c>
    </row>
    <row r="65" spans="2:31" ht="15" customHeight="1" x14ac:dyDescent="0.3">
      <c r="B65" s="302"/>
      <c r="C65" s="304"/>
      <c r="D65" s="304"/>
      <c r="E65" s="304"/>
      <c r="F65" s="304"/>
      <c r="G65" s="304"/>
      <c r="H65" s="304"/>
      <c r="I65" s="304"/>
      <c r="J65" s="304"/>
      <c r="K65" s="304"/>
      <c r="L65" s="304"/>
      <c r="M65" s="304"/>
      <c r="N65" s="302"/>
      <c r="O65" s="302"/>
      <c r="P65" s="302"/>
      <c r="Q65" s="302"/>
      <c r="R65" s="302"/>
      <c r="S65" s="302"/>
      <c r="T65" s="302"/>
      <c r="U65" s="302"/>
      <c r="V65" s="302"/>
      <c r="W65" s="302"/>
      <c r="X65" s="302"/>
      <c r="Y65" s="302"/>
      <c r="Z65" s="302"/>
      <c r="AA65" s="302"/>
      <c r="AB65" s="297" t="s">
        <v>10</v>
      </c>
    </row>
    <row r="66" spans="2:31" x14ac:dyDescent="0.3">
      <c r="B66" s="1521" t="s">
        <v>343</v>
      </c>
      <c r="C66" s="1521" t="s">
        <v>37</v>
      </c>
      <c r="D66" s="1664" t="s">
        <v>940</v>
      </c>
      <c r="E66" s="1665"/>
      <c r="F66" s="1665"/>
      <c r="G66" s="1665"/>
      <c r="H66" s="1666"/>
      <c r="I66" s="1648" t="s">
        <v>941</v>
      </c>
      <c r="J66" s="1648"/>
      <c r="K66" s="1648"/>
      <c r="L66" s="1648"/>
      <c r="M66" s="1648"/>
      <c r="N66" s="1648" t="s">
        <v>945</v>
      </c>
      <c r="O66" s="1648"/>
      <c r="P66" s="1648"/>
      <c r="Q66" s="1648"/>
      <c r="R66" s="1648"/>
      <c r="S66" s="1648" t="s">
        <v>942</v>
      </c>
      <c r="T66" s="1648"/>
      <c r="U66" s="1648"/>
      <c r="V66" s="1648"/>
      <c r="W66" s="1648"/>
      <c r="X66" s="1648" t="s">
        <v>944</v>
      </c>
      <c r="Y66" s="1648"/>
      <c r="Z66" s="1648"/>
      <c r="AA66" s="1648"/>
      <c r="AB66" s="1648"/>
    </row>
    <row r="67" spans="2:31" x14ac:dyDescent="0.3">
      <c r="B67" s="1521"/>
      <c r="C67" s="1521"/>
      <c r="D67" s="1652" t="s">
        <v>21</v>
      </c>
      <c r="E67" s="1653"/>
      <c r="F67" s="1653"/>
      <c r="G67" s="1653"/>
      <c r="H67" s="1653"/>
      <c r="I67" s="1649" t="s">
        <v>21</v>
      </c>
      <c r="J67" s="1650"/>
      <c r="K67" s="1650"/>
      <c r="L67" s="1650"/>
      <c r="M67" s="1651"/>
      <c r="N67" s="1652" t="s">
        <v>21</v>
      </c>
      <c r="O67" s="1653"/>
      <c r="P67" s="1653"/>
      <c r="Q67" s="1653"/>
      <c r="R67" s="1653"/>
      <c r="S67" s="1652" t="s">
        <v>21</v>
      </c>
      <c r="T67" s="1653"/>
      <c r="U67" s="1653"/>
      <c r="V67" s="1653"/>
      <c r="W67" s="1653"/>
      <c r="X67" s="1652" t="s">
        <v>21</v>
      </c>
      <c r="Y67" s="1653"/>
      <c r="Z67" s="1653"/>
      <c r="AA67" s="1653"/>
      <c r="AB67" s="1653"/>
    </row>
    <row r="68" spans="2:31" ht="42" x14ac:dyDescent="0.3">
      <c r="B68" s="1521"/>
      <c r="C68" s="1521"/>
      <c r="D68" s="653" t="s">
        <v>267</v>
      </c>
      <c r="E68" s="653" t="s">
        <v>268</v>
      </c>
      <c r="F68" s="303" t="s">
        <v>274</v>
      </c>
      <c r="G68" s="645" t="s">
        <v>601</v>
      </c>
      <c r="H68" s="653" t="s">
        <v>270</v>
      </c>
      <c r="I68" s="653" t="s">
        <v>267</v>
      </c>
      <c r="J68" s="653" t="s">
        <v>268</v>
      </c>
      <c r="K68" s="303" t="s">
        <v>274</v>
      </c>
      <c r="L68" s="645" t="s">
        <v>601</v>
      </c>
      <c r="M68" s="653" t="s">
        <v>270</v>
      </c>
      <c r="N68" s="653" t="s">
        <v>267</v>
      </c>
      <c r="O68" s="653" t="s">
        <v>268</v>
      </c>
      <c r="P68" s="303" t="s">
        <v>274</v>
      </c>
      <c r="Q68" s="645" t="s">
        <v>601</v>
      </c>
      <c r="R68" s="653" t="s">
        <v>270</v>
      </c>
      <c r="S68" s="653" t="s">
        <v>267</v>
      </c>
      <c r="T68" s="653" t="s">
        <v>268</v>
      </c>
      <c r="U68" s="303" t="s">
        <v>274</v>
      </c>
      <c r="V68" s="645" t="s">
        <v>601</v>
      </c>
      <c r="W68" s="653" t="s">
        <v>270</v>
      </c>
      <c r="X68" s="653" t="s">
        <v>267</v>
      </c>
      <c r="Y68" s="653" t="s">
        <v>268</v>
      </c>
      <c r="Z68" s="303" t="s">
        <v>274</v>
      </c>
      <c r="AA68" s="645" t="s">
        <v>601</v>
      </c>
      <c r="AB68" s="653" t="s">
        <v>270</v>
      </c>
    </row>
    <row r="69" spans="2:31" x14ac:dyDescent="0.3">
      <c r="B69" s="298"/>
      <c r="C69" s="298"/>
      <c r="D69" s="298" t="s">
        <v>81</v>
      </c>
      <c r="E69" s="298" t="s">
        <v>82</v>
      </c>
      <c r="F69" s="298" t="s">
        <v>472</v>
      </c>
      <c r="G69" s="298" t="s">
        <v>397</v>
      </c>
      <c r="H69" s="298" t="s">
        <v>602</v>
      </c>
      <c r="I69" s="298" t="s">
        <v>414</v>
      </c>
      <c r="J69" s="298" t="s">
        <v>522</v>
      </c>
      <c r="K69" s="298" t="s">
        <v>415</v>
      </c>
      <c r="L69" s="298" t="s">
        <v>416</v>
      </c>
      <c r="M69" s="298" t="s">
        <v>669</v>
      </c>
      <c r="N69" s="298" t="s">
        <v>603</v>
      </c>
      <c r="O69" s="298" t="s">
        <v>670</v>
      </c>
      <c r="P69" s="298" t="s">
        <v>604</v>
      </c>
      <c r="Q69" s="298" t="s">
        <v>605</v>
      </c>
      <c r="R69" s="298" t="s">
        <v>671</v>
      </c>
      <c r="S69" s="298" t="s">
        <v>606</v>
      </c>
      <c r="T69" s="298" t="s">
        <v>607</v>
      </c>
      <c r="U69" s="298" t="s">
        <v>672</v>
      </c>
      <c r="V69" s="298" t="s">
        <v>608</v>
      </c>
      <c r="W69" s="298" t="s">
        <v>999</v>
      </c>
      <c r="X69" s="298" t="s">
        <v>609</v>
      </c>
      <c r="Y69" s="298" t="s">
        <v>610</v>
      </c>
      <c r="Z69" s="298" t="s">
        <v>611</v>
      </c>
      <c r="AA69" s="298" t="s">
        <v>673</v>
      </c>
      <c r="AB69" s="298" t="s">
        <v>1000</v>
      </c>
    </row>
    <row r="70" spans="2:31" x14ac:dyDescent="0.3">
      <c r="B70" s="492">
        <v>1</v>
      </c>
      <c r="C70" s="497" t="s">
        <v>860</v>
      </c>
      <c r="D70" s="1125">
        <f>D16-D44</f>
        <v>0</v>
      </c>
      <c r="E70" s="1125">
        <f t="shared" ref="E70:F70" si="34">E16-E44</f>
        <v>0</v>
      </c>
      <c r="F70" s="1125">
        <f t="shared" si="34"/>
        <v>0</v>
      </c>
      <c r="G70" s="1125"/>
      <c r="H70" s="1125">
        <f t="shared" ref="H70:H86" si="35">D70+E70-F70-G70</f>
        <v>0</v>
      </c>
      <c r="I70" s="1125">
        <f>I16-I44</f>
        <v>0</v>
      </c>
      <c r="J70" s="1125">
        <f t="shared" ref="J70:K70" si="36">J16-J44</f>
        <v>0</v>
      </c>
      <c r="K70" s="1125">
        <f t="shared" si="36"/>
        <v>0</v>
      </c>
      <c r="L70" s="1125"/>
      <c r="M70" s="1125">
        <f t="shared" ref="M70:M86" si="37">I70+J70-K70-L70</f>
        <v>0</v>
      </c>
      <c r="N70" s="1125">
        <f>N16-N44</f>
        <v>0</v>
      </c>
      <c r="O70" s="1125">
        <f t="shared" ref="O70:P70" si="38">O16-O44</f>
        <v>0</v>
      </c>
      <c r="P70" s="1125">
        <f t="shared" si="38"/>
        <v>0</v>
      </c>
      <c r="Q70" s="1125"/>
      <c r="R70" s="1125">
        <f t="shared" ref="R70:R86" si="39">N70+O70-P70-Q70</f>
        <v>0</v>
      </c>
      <c r="S70" s="1125">
        <f>S16-S44</f>
        <v>0</v>
      </c>
      <c r="T70" s="1125">
        <f t="shared" ref="T70:U70" si="40">T16-T44</f>
        <v>0</v>
      </c>
      <c r="U70" s="1125">
        <f t="shared" si="40"/>
        <v>0</v>
      </c>
      <c r="V70" s="1125"/>
      <c r="W70" s="1125">
        <f t="shared" ref="W70:W86" si="41">S70+T70-U70-V70</f>
        <v>0</v>
      </c>
      <c r="X70" s="1125">
        <f>X16-X44</f>
        <v>0</v>
      </c>
      <c r="Y70" s="1125">
        <f t="shared" ref="Y70:Z70" si="42">Y16-Y44</f>
        <v>0</v>
      </c>
      <c r="Z70" s="1125">
        <f t="shared" si="42"/>
        <v>0</v>
      </c>
      <c r="AA70" s="1125"/>
      <c r="AB70" s="1125">
        <f t="shared" ref="AB70:AB86" si="43">X70+Y70-Z70-AA70</f>
        <v>0</v>
      </c>
      <c r="AC70" s="1126"/>
      <c r="AD70" s="1126"/>
      <c r="AE70" s="1126"/>
    </row>
    <row r="71" spans="2:31" x14ac:dyDescent="0.3">
      <c r="B71" s="492">
        <f>B70+1</f>
        <v>2</v>
      </c>
      <c r="C71" s="497" t="s">
        <v>255</v>
      </c>
      <c r="D71" s="1125">
        <f t="shared" ref="D71:F86" si="44">D17-D45</f>
        <v>0</v>
      </c>
      <c r="E71" s="1125">
        <f t="shared" si="44"/>
        <v>0</v>
      </c>
      <c r="F71" s="1125">
        <f t="shared" si="44"/>
        <v>0</v>
      </c>
      <c r="G71" s="1125"/>
      <c r="H71" s="1125">
        <f t="shared" si="35"/>
        <v>0</v>
      </c>
      <c r="I71" s="1125">
        <f t="shared" ref="I71:K86" si="45">I17-I45</f>
        <v>0</v>
      </c>
      <c r="J71" s="1125">
        <f t="shared" si="45"/>
        <v>0</v>
      </c>
      <c r="K71" s="1125">
        <f t="shared" si="45"/>
        <v>0</v>
      </c>
      <c r="L71" s="1125"/>
      <c r="M71" s="1125">
        <f t="shared" si="37"/>
        <v>0</v>
      </c>
      <c r="N71" s="1125">
        <f t="shared" ref="N71:P86" si="46">N17-N45</f>
        <v>0</v>
      </c>
      <c r="O71" s="1125">
        <f t="shared" si="46"/>
        <v>0</v>
      </c>
      <c r="P71" s="1125">
        <f t="shared" si="46"/>
        <v>0</v>
      </c>
      <c r="Q71" s="1125"/>
      <c r="R71" s="1125">
        <f t="shared" si="39"/>
        <v>0</v>
      </c>
      <c r="S71" s="1125">
        <f t="shared" ref="S71:U86" si="47">S17-S45</f>
        <v>0</v>
      </c>
      <c r="T71" s="1125">
        <f t="shared" si="47"/>
        <v>0</v>
      </c>
      <c r="U71" s="1125">
        <f t="shared" si="47"/>
        <v>0</v>
      </c>
      <c r="V71" s="1125"/>
      <c r="W71" s="1125">
        <f t="shared" si="41"/>
        <v>0</v>
      </c>
      <c r="X71" s="1125">
        <f t="shared" ref="X71:Z86" si="48">X17-X45</f>
        <v>0</v>
      </c>
      <c r="Y71" s="1125">
        <f t="shared" si="48"/>
        <v>0</v>
      </c>
      <c r="Z71" s="1125">
        <f t="shared" si="48"/>
        <v>0</v>
      </c>
      <c r="AA71" s="1125"/>
      <c r="AB71" s="1125">
        <f t="shared" si="43"/>
        <v>0</v>
      </c>
      <c r="AC71" s="1126"/>
      <c r="AD71" s="1126"/>
      <c r="AE71" s="1126"/>
    </row>
    <row r="72" spans="2:31" x14ac:dyDescent="0.3">
      <c r="B72" s="492">
        <f t="shared" ref="B72:B86" si="49">B71+1</f>
        <v>3</v>
      </c>
      <c r="C72" s="497" t="s">
        <v>861</v>
      </c>
      <c r="D72" s="1125">
        <f t="shared" si="44"/>
        <v>0</v>
      </c>
      <c r="E72" s="1125">
        <f t="shared" si="44"/>
        <v>0.40787499999999999</v>
      </c>
      <c r="F72" s="1125">
        <f t="shared" si="44"/>
        <v>0</v>
      </c>
      <c r="G72" s="1125"/>
      <c r="H72" s="1125">
        <f t="shared" si="35"/>
        <v>0.40787499999999999</v>
      </c>
      <c r="I72" s="1125">
        <f t="shared" si="45"/>
        <v>0.40787499999999999</v>
      </c>
      <c r="J72" s="1125">
        <f t="shared" si="45"/>
        <v>0.5942291666666667</v>
      </c>
      <c r="K72" s="1125">
        <f t="shared" si="45"/>
        <v>0</v>
      </c>
      <c r="L72" s="1125"/>
      <c r="M72" s="1125">
        <f t="shared" si="37"/>
        <v>1.0021041666666668</v>
      </c>
      <c r="N72" s="1125">
        <f t="shared" si="46"/>
        <v>1.0021041666666666</v>
      </c>
      <c r="O72" s="1125">
        <f t="shared" si="46"/>
        <v>-4.3958333333333328E-2</v>
      </c>
      <c r="P72" s="1125">
        <f t="shared" si="46"/>
        <v>0</v>
      </c>
      <c r="Q72" s="1125"/>
      <c r="R72" s="1125">
        <f t="shared" si="39"/>
        <v>0.95814583333333325</v>
      </c>
      <c r="S72" s="1125">
        <f t="shared" si="47"/>
        <v>0.95814583333333325</v>
      </c>
      <c r="T72" s="1125">
        <f t="shared" si="47"/>
        <v>-4.3958333333333328E-2</v>
      </c>
      <c r="U72" s="1125">
        <f t="shared" si="47"/>
        <v>0</v>
      </c>
      <c r="V72" s="1125"/>
      <c r="W72" s="1125">
        <f t="shared" si="41"/>
        <v>0.91418749999999993</v>
      </c>
      <c r="X72" s="1125">
        <f t="shared" si="48"/>
        <v>0.91418749999999993</v>
      </c>
      <c r="Y72" s="1125">
        <f t="shared" si="48"/>
        <v>-4.3958333333333328E-2</v>
      </c>
      <c r="Z72" s="1125">
        <f t="shared" si="48"/>
        <v>0</v>
      </c>
      <c r="AA72" s="1125"/>
      <c r="AB72" s="1125">
        <f t="shared" si="43"/>
        <v>0.87022916666666661</v>
      </c>
      <c r="AC72" s="1126"/>
      <c r="AD72" s="1126"/>
      <c r="AE72" s="1126"/>
    </row>
    <row r="73" spans="2:31" x14ac:dyDescent="0.3">
      <c r="B73" s="492">
        <f t="shared" si="49"/>
        <v>4</v>
      </c>
      <c r="C73" s="497" t="s">
        <v>862</v>
      </c>
      <c r="D73" s="1125">
        <f t="shared" si="44"/>
        <v>0</v>
      </c>
      <c r="E73" s="1125">
        <f t="shared" si="44"/>
        <v>0</v>
      </c>
      <c r="F73" s="1125">
        <f t="shared" si="44"/>
        <v>0</v>
      </c>
      <c r="G73" s="1125"/>
      <c r="H73" s="1125">
        <f t="shared" si="35"/>
        <v>0</v>
      </c>
      <c r="I73" s="1125">
        <f t="shared" si="45"/>
        <v>0</v>
      </c>
      <c r="J73" s="1125">
        <f t="shared" si="45"/>
        <v>0</v>
      </c>
      <c r="K73" s="1125">
        <f t="shared" si="45"/>
        <v>0</v>
      </c>
      <c r="L73" s="1125"/>
      <c r="M73" s="1125">
        <f t="shared" si="37"/>
        <v>0</v>
      </c>
      <c r="N73" s="1125">
        <f t="shared" si="46"/>
        <v>0</v>
      </c>
      <c r="O73" s="1125">
        <f t="shared" si="46"/>
        <v>0</v>
      </c>
      <c r="P73" s="1125">
        <f t="shared" si="46"/>
        <v>0</v>
      </c>
      <c r="Q73" s="1125"/>
      <c r="R73" s="1125">
        <f t="shared" si="39"/>
        <v>0</v>
      </c>
      <c r="S73" s="1125">
        <f t="shared" si="47"/>
        <v>0</v>
      </c>
      <c r="T73" s="1125">
        <f t="shared" si="47"/>
        <v>0</v>
      </c>
      <c r="U73" s="1125">
        <f t="shared" si="47"/>
        <v>0</v>
      </c>
      <c r="V73" s="1125"/>
      <c r="W73" s="1125">
        <f t="shared" si="41"/>
        <v>0</v>
      </c>
      <c r="X73" s="1125">
        <f t="shared" si="48"/>
        <v>0</v>
      </c>
      <c r="Y73" s="1125">
        <f t="shared" si="48"/>
        <v>0</v>
      </c>
      <c r="Z73" s="1125">
        <f t="shared" si="48"/>
        <v>0</v>
      </c>
      <c r="AA73" s="1125"/>
      <c r="AB73" s="1125">
        <f t="shared" si="43"/>
        <v>0</v>
      </c>
      <c r="AC73" s="1126"/>
      <c r="AD73" s="1126"/>
      <c r="AE73" s="1126"/>
    </row>
    <row r="74" spans="2:31" x14ac:dyDescent="0.3">
      <c r="B74" s="492">
        <f t="shared" si="49"/>
        <v>5</v>
      </c>
      <c r="C74" s="497" t="s">
        <v>863</v>
      </c>
      <c r="D74" s="1125">
        <f t="shared" si="44"/>
        <v>0</v>
      </c>
      <c r="E74" s="1125">
        <f t="shared" si="44"/>
        <v>12.966449333333333</v>
      </c>
      <c r="F74" s="1125">
        <f t="shared" si="44"/>
        <v>0</v>
      </c>
      <c r="G74" s="1125"/>
      <c r="H74" s="1125">
        <f t="shared" si="35"/>
        <v>12.966449333333333</v>
      </c>
      <c r="I74" s="1125">
        <f t="shared" si="45"/>
        <v>12.966449333333333</v>
      </c>
      <c r="J74" s="1125">
        <f t="shared" si="45"/>
        <v>3.0625715833333333</v>
      </c>
      <c r="K74" s="1125">
        <f t="shared" si="45"/>
        <v>0</v>
      </c>
      <c r="L74" s="1125"/>
      <c r="M74" s="1125">
        <f t="shared" si="37"/>
        <v>16.029020916666667</v>
      </c>
      <c r="N74" s="1125">
        <f t="shared" si="46"/>
        <v>16.029020916666667</v>
      </c>
      <c r="O74" s="1125">
        <f t="shared" si="46"/>
        <v>-0.55942216666666666</v>
      </c>
      <c r="P74" s="1125">
        <f t="shared" si="46"/>
        <v>0</v>
      </c>
      <c r="Q74" s="1125"/>
      <c r="R74" s="1125">
        <f t="shared" si="39"/>
        <v>15.469598750000001</v>
      </c>
      <c r="S74" s="1125">
        <f t="shared" si="47"/>
        <v>15.469598750000001</v>
      </c>
      <c r="T74" s="1125">
        <f t="shared" si="47"/>
        <v>-0.55942216666666666</v>
      </c>
      <c r="U74" s="1125">
        <f t="shared" si="47"/>
        <v>0</v>
      </c>
      <c r="V74" s="1125"/>
      <c r="W74" s="1125">
        <f t="shared" si="41"/>
        <v>14.910176583333335</v>
      </c>
      <c r="X74" s="1125">
        <f t="shared" si="48"/>
        <v>14.910176583333334</v>
      </c>
      <c r="Y74" s="1125">
        <f t="shared" si="48"/>
        <v>-0.55942216666666666</v>
      </c>
      <c r="Z74" s="1125">
        <f t="shared" si="48"/>
        <v>0</v>
      </c>
      <c r="AA74" s="1125"/>
      <c r="AB74" s="1125">
        <f t="shared" si="43"/>
        <v>14.350754416666668</v>
      </c>
      <c r="AC74" s="1126"/>
      <c r="AD74" s="1126"/>
      <c r="AE74" s="1126"/>
    </row>
    <row r="75" spans="2:31" x14ac:dyDescent="0.3">
      <c r="B75" s="492">
        <f t="shared" si="49"/>
        <v>6</v>
      </c>
      <c r="C75" s="497" t="s">
        <v>254</v>
      </c>
      <c r="D75" s="1125">
        <f t="shared" si="44"/>
        <v>0</v>
      </c>
      <c r="E75" s="1125">
        <f t="shared" si="44"/>
        <v>28.995099575000001</v>
      </c>
      <c r="F75" s="1125">
        <f t="shared" si="44"/>
        <v>0</v>
      </c>
      <c r="G75" s="1125"/>
      <c r="H75" s="1125">
        <f t="shared" si="35"/>
        <v>28.995099575000001</v>
      </c>
      <c r="I75" s="1125">
        <f t="shared" si="45"/>
        <v>28.995099575000001</v>
      </c>
      <c r="J75" s="1125">
        <f t="shared" si="45"/>
        <v>15.131923983333333</v>
      </c>
      <c r="K75" s="1125">
        <f t="shared" si="45"/>
        <v>0</v>
      </c>
      <c r="L75" s="1125"/>
      <c r="M75" s="1125">
        <f t="shared" si="37"/>
        <v>44.127023558333335</v>
      </c>
      <c r="N75" s="1125">
        <f t="shared" si="46"/>
        <v>44.127023558333335</v>
      </c>
      <c r="O75" s="1125">
        <f t="shared" si="46"/>
        <v>43.533298483333333</v>
      </c>
      <c r="P75" s="1125">
        <f t="shared" si="46"/>
        <v>0</v>
      </c>
      <c r="Q75" s="1125"/>
      <c r="R75" s="1125">
        <f t="shared" si="39"/>
        <v>87.66032204166666</v>
      </c>
      <c r="S75" s="1125">
        <f t="shared" si="47"/>
        <v>87.660322041666674</v>
      </c>
      <c r="T75" s="1125">
        <f t="shared" si="47"/>
        <v>-3.9172185166666669</v>
      </c>
      <c r="U75" s="1125">
        <f t="shared" si="47"/>
        <v>0</v>
      </c>
      <c r="V75" s="1125"/>
      <c r="W75" s="1125">
        <f t="shared" si="41"/>
        <v>83.743103525000009</v>
      </c>
      <c r="X75" s="1125">
        <f t="shared" si="48"/>
        <v>83.743103525000009</v>
      </c>
      <c r="Y75" s="1125">
        <f t="shared" si="48"/>
        <v>30.344281483333333</v>
      </c>
      <c r="Z75" s="1125">
        <f t="shared" si="48"/>
        <v>0</v>
      </c>
      <c r="AA75" s="1125"/>
      <c r="AB75" s="1125">
        <f t="shared" si="43"/>
        <v>114.08738500833334</v>
      </c>
      <c r="AC75" s="1126"/>
      <c r="AD75" s="1126"/>
      <c r="AE75" s="1126"/>
    </row>
    <row r="76" spans="2:31" x14ac:dyDescent="0.3">
      <c r="B76" s="492">
        <f t="shared" si="49"/>
        <v>7</v>
      </c>
      <c r="C76" s="497" t="s">
        <v>864</v>
      </c>
      <c r="D76" s="1125">
        <f t="shared" si="44"/>
        <v>0</v>
      </c>
      <c r="E76" s="1125">
        <f t="shared" si="44"/>
        <v>0.39687499999999998</v>
      </c>
      <c r="F76" s="1125">
        <f t="shared" si="44"/>
        <v>0</v>
      </c>
      <c r="G76" s="1125"/>
      <c r="H76" s="1125">
        <f t="shared" si="35"/>
        <v>0.39687499999999998</v>
      </c>
      <c r="I76" s="1125">
        <f t="shared" si="45"/>
        <v>0.39687499999999998</v>
      </c>
      <c r="J76" s="1125">
        <f t="shared" si="45"/>
        <v>-3.9583333333333331E-2</v>
      </c>
      <c r="K76" s="1125">
        <f t="shared" si="45"/>
        <v>0</v>
      </c>
      <c r="L76" s="1125"/>
      <c r="M76" s="1125">
        <f t="shared" si="37"/>
        <v>0.35729166666666667</v>
      </c>
      <c r="N76" s="1125">
        <f t="shared" si="46"/>
        <v>0.35729166666666662</v>
      </c>
      <c r="O76" s="1125">
        <f t="shared" si="46"/>
        <v>0.19854166666666667</v>
      </c>
      <c r="P76" s="1125">
        <f t="shared" si="46"/>
        <v>0</v>
      </c>
      <c r="Q76" s="1125"/>
      <c r="R76" s="1125">
        <f t="shared" si="39"/>
        <v>0.55583333333333329</v>
      </c>
      <c r="S76" s="1125">
        <f t="shared" si="47"/>
        <v>0.55583333333333329</v>
      </c>
      <c r="T76" s="1125">
        <f t="shared" si="47"/>
        <v>-6.3333333333333325E-2</v>
      </c>
      <c r="U76" s="1125">
        <f t="shared" si="47"/>
        <v>0</v>
      </c>
      <c r="V76" s="1125"/>
      <c r="W76" s="1125">
        <f t="shared" si="41"/>
        <v>0.49249999999999994</v>
      </c>
      <c r="X76" s="1125">
        <f t="shared" si="48"/>
        <v>0.49249999999999999</v>
      </c>
      <c r="Y76" s="1125">
        <f t="shared" si="48"/>
        <v>-6.3333333333333325E-2</v>
      </c>
      <c r="Z76" s="1125">
        <f t="shared" si="48"/>
        <v>0</v>
      </c>
      <c r="AA76" s="1125"/>
      <c r="AB76" s="1125">
        <f t="shared" si="43"/>
        <v>0.4291666666666667</v>
      </c>
      <c r="AC76" s="1126"/>
      <c r="AD76" s="1126"/>
      <c r="AE76" s="1126"/>
    </row>
    <row r="77" spans="2:31" x14ac:dyDescent="0.3">
      <c r="B77" s="492">
        <f t="shared" si="49"/>
        <v>8</v>
      </c>
      <c r="C77" s="497" t="s">
        <v>865</v>
      </c>
      <c r="D77" s="1125">
        <f t="shared" si="44"/>
        <v>0</v>
      </c>
      <c r="E77" s="1125">
        <f t="shared" si="44"/>
        <v>0</v>
      </c>
      <c r="F77" s="1125">
        <f t="shared" si="44"/>
        <v>0</v>
      </c>
      <c r="G77" s="1125"/>
      <c r="H77" s="1125">
        <f t="shared" si="35"/>
        <v>0</v>
      </c>
      <c r="I77" s="1125">
        <f t="shared" si="45"/>
        <v>0</v>
      </c>
      <c r="J77" s="1125">
        <f t="shared" si="45"/>
        <v>0</v>
      </c>
      <c r="K77" s="1125">
        <f t="shared" si="45"/>
        <v>0</v>
      </c>
      <c r="L77" s="1125"/>
      <c r="M77" s="1125">
        <f t="shared" si="37"/>
        <v>0</v>
      </c>
      <c r="N77" s="1125">
        <f t="shared" si="46"/>
        <v>0</v>
      </c>
      <c r="O77" s="1125">
        <f t="shared" si="46"/>
        <v>0</v>
      </c>
      <c r="P77" s="1125">
        <f t="shared" si="46"/>
        <v>0</v>
      </c>
      <c r="Q77" s="1125"/>
      <c r="R77" s="1125">
        <f t="shared" si="39"/>
        <v>0</v>
      </c>
      <c r="S77" s="1125">
        <f t="shared" si="47"/>
        <v>0</v>
      </c>
      <c r="T77" s="1125">
        <f t="shared" si="47"/>
        <v>0</v>
      </c>
      <c r="U77" s="1125">
        <f t="shared" si="47"/>
        <v>0</v>
      </c>
      <c r="V77" s="1125"/>
      <c r="W77" s="1125">
        <f t="shared" si="41"/>
        <v>0</v>
      </c>
      <c r="X77" s="1125">
        <f t="shared" si="48"/>
        <v>0</v>
      </c>
      <c r="Y77" s="1125">
        <f t="shared" si="48"/>
        <v>0</v>
      </c>
      <c r="Z77" s="1125">
        <f t="shared" si="48"/>
        <v>0</v>
      </c>
      <c r="AA77" s="1125"/>
      <c r="AB77" s="1125">
        <f t="shared" si="43"/>
        <v>0</v>
      </c>
      <c r="AC77" s="1126"/>
      <c r="AD77" s="1126"/>
      <c r="AE77" s="1126"/>
    </row>
    <row r="78" spans="2:31" x14ac:dyDescent="0.3">
      <c r="B78" s="492">
        <f t="shared" si="49"/>
        <v>9</v>
      </c>
      <c r="C78" s="497" t="s">
        <v>866</v>
      </c>
      <c r="D78" s="1125">
        <f t="shared" si="44"/>
        <v>0</v>
      </c>
      <c r="E78" s="1125">
        <f t="shared" si="44"/>
        <v>0</v>
      </c>
      <c r="F78" s="1125">
        <f t="shared" si="44"/>
        <v>0</v>
      </c>
      <c r="G78" s="1125"/>
      <c r="H78" s="1125">
        <f t="shared" si="35"/>
        <v>0</v>
      </c>
      <c r="I78" s="1125">
        <f t="shared" si="45"/>
        <v>0</v>
      </c>
      <c r="J78" s="1125">
        <f t="shared" si="45"/>
        <v>4.1236162500000004</v>
      </c>
      <c r="K78" s="1125">
        <f t="shared" si="45"/>
        <v>0</v>
      </c>
      <c r="L78" s="1125"/>
      <c r="M78" s="1125">
        <f t="shared" si="37"/>
        <v>4.1236162500000004</v>
      </c>
      <c r="N78" s="1125">
        <f t="shared" si="46"/>
        <v>4.1236162500000004</v>
      </c>
      <c r="O78" s="1125">
        <f t="shared" si="46"/>
        <v>6.6957499999999975E-2</v>
      </c>
      <c r="P78" s="1125">
        <f t="shared" si="46"/>
        <v>0</v>
      </c>
      <c r="Q78" s="1125"/>
      <c r="R78" s="1125">
        <f t="shared" si="39"/>
        <v>4.1905737500000004</v>
      </c>
      <c r="S78" s="1125">
        <f t="shared" si="47"/>
        <v>4.1905737500000004</v>
      </c>
      <c r="T78" s="1125">
        <f t="shared" si="47"/>
        <v>-0.18831750000000003</v>
      </c>
      <c r="U78" s="1125">
        <f t="shared" si="47"/>
        <v>0</v>
      </c>
      <c r="V78" s="1125"/>
      <c r="W78" s="1125">
        <f t="shared" si="41"/>
        <v>4.0022562500000003</v>
      </c>
      <c r="X78" s="1125">
        <f t="shared" si="48"/>
        <v>4.0022562500000003</v>
      </c>
      <c r="Y78" s="1125">
        <f t="shared" si="48"/>
        <v>-0.18831750000000003</v>
      </c>
      <c r="Z78" s="1125">
        <f t="shared" si="48"/>
        <v>0</v>
      </c>
      <c r="AA78" s="1125"/>
      <c r="AB78" s="1125">
        <f t="shared" si="43"/>
        <v>3.8139387500000002</v>
      </c>
      <c r="AC78" s="1126"/>
      <c r="AD78" s="1126"/>
      <c r="AE78" s="1126"/>
    </row>
    <row r="79" spans="2:31" x14ac:dyDescent="0.3">
      <c r="B79" s="492">
        <f t="shared" si="49"/>
        <v>10</v>
      </c>
      <c r="C79" s="497" t="s">
        <v>258</v>
      </c>
      <c r="D79" s="1125">
        <f t="shared" si="44"/>
        <v>0</v>
      </c>
      <c r="E79" s="1125">
        <f t="shared" si="44"/>
        <v>0</v>
      </c>
      <c r="F79" s="1125">
        <f t="shared" si="44"/>
        <v>0</v>
      </c>
      <c r="G79" s="1125"/>
      <c r="H79" s="1125">
        <f t="shared" si="35"/>
        <v>0</v>
      </c>
      <c r="I79" s="1125">
        <f t="shared" si="45"/>
        <v>0</v>
      </c>
      <c r="J79" s="1125">
        <f t="shared" si="45"/>
        <v>0</v>
      </c>
      <c r="K79" s="1125">
        <f t="shared" si="45"/>
        <v>0</v>
      </c>
      <c r="L79" s="1125"/>
      <c r="M79" s="1125">
        <f t="shared" si="37"/>
        <v>0</v>
      </c>
      <c r="N79" s="1125">
        <f t="shared" si="46"/>
        <v>0</v>
      </c>
      <c r="O79" s="1125">
        <f t="shared" si="46"/>
        <v>0</v>
      </c>
      <c r="P79" s="1125">
        <f t="shared" si="46"/>
        <v>0</v>
      </c>
      <c r="Q79" s="1125"/>
      <c r="R79" s="1125">
        <f t="shared" si="39"/>
        <v>0</v>
      </c>
      <c r="S79" s="1125">
        <f t="shared" si="47"/>
        <v>0</v>
      </c>
      <c r="T79" s="1125">
        <f t="shared" si="47"/>
        <v>0</v>
      </c>
      <c r="U79" s="1125">
        <f t="shared" si="47"/>
        <v>0</v>
      </c>
      <c r="V79" s="1125"/>
      <c r="W79" s="1125">
        <f t="shared" si="41"/>
        <v>0</v>
      </c>
      <c r="X79" s="1125">
        <f t="shared" si="48"/>
        <v>0</v>
      </c>
      <c r="Y79" s="1125">
        <f t="shared" si="48"/>
        <v>0</v>
      </c>
      <c r="Z79" s="1125">
        <f t="shared" si="48"/>
        <v>0</v>
      </c>
      <c r="AA79" s="1125"/>
      <c r="AB79" s="1125">
        <f t="shared" si="43"/>
        <v>0</v>
      </c>
      <c r="AC79" s="1126"/>
      <c r="AD79" s="1126"/>
      <c r="AE79" s="1126"/>
    </row>
    <row r="80" spans="2:31" x14ac:dyDescent="0.3">
      <c r="B80" s="492">
        <f t="shared" si="49"/>
        <v>11</v>
      </c>
      <c r="C80" s="497" t="s">
        <v>259</v>
      </c>
      <c r="D80" s="1125">
        <f t="shared" si="44"/>
        <v>0</v>
      </c>
      <c r="E80" s="1125">
        <f t="shared" si="44"/>
        <v>0</v>
      </c>
      <c r="F80" s="1125">
        <f t="shared" si="44"/>
        <v>0</v>
      </c>
      <c r="G80" s="1125"/>
      <c r="H80" s="1125">
        <f t="shared" si="35"/>
        <v>0</v>
      </c>
      <c r="I80" s="1125">
        <f t="shared" si="45"/>
        <v>0</v>
      </c>
      <c r="J80" s="1125">
        <f t="shared" si="45"/>
        <v>0</v>
      </c>
      <c r="K80" s="1125">
        <f t="shared" si="45"/>
        <v>0</v>
      </c>
      <c r="L80" s="1125"/>
      <c r="M80" s="1125">
        <f t="shared" si="37"/>
        <v>0</v>
      </c>
      <c r="N80" s="1125">
        <f t="shared" si="46"/>
        <v>0</v>
      </c>
      <c r="O80" s="1125">
        <f t="shared" si="46"/>
        <v>0</v>
      </c>
      <c r="P80" s="1125">
        <f t="shared" si="46"/>
        <v>0</v>
      </c>
      <c r="Q80" s="1125"/>
      <c r="R80" s="1125">
        <f t="shared" si="39"/>
        <v>0</v>
      </c>
      <c r="S80" s="1125">
        <f t="shared" si="47"/>
        <v>0</v>
      </c>
      <c r="T80" s="1125">
        <f t="shared" si="47"/>
        <v>0</v>
      </c>
      <c r="U80" s="1125">
        <f t="shared" si="47"/>
        <v>0</v>
      </c>
      <c r="V80" s="1125"/>
      <c r="W80" s="1125">
        <f t="shared" si="41"/>
        <v>0</v>
      </c>
      <c r="X80" s="1125">
        <f t="shared" si="48"/>
        <v>0</v>
      </c>
      <c r="Y80" s="1125">
        <f t="shared" si="48"/>
        <v>0</v>
      </c>
      <c r="Z80" s="1125">
        <f t="shared" si="48"/>
        <v>0</v>
      </c>
      <c r="AA80" s="1125"/>
      <c r="AB80" s="1125">
        <f t="shared" si="43"/>
        <v>0</v>
      </c>
      <c r="AC80" s="1126"/>
      <c r="AD80" s="1126"/>
      <c r="AE80" s="1126"/>
    </row>
    <row r="81" spans="2:31" x14ac:dyDescent="0.3">
      <c r="B81" s="492">
        <f t="shared" si="49"/>
        <v>12</v>
      </c>
      <c r="C81" s="497" t="s">
        <v>260</v>
      </c>
      <c r="D81" s="1125">
        <f t="shared" si="44"/>
        <v>0</v>
      </c>
      <c r="E81" s="1125">
        <f t="shared" si="44"/>
        <v>0</v>
      </c>
      <c r="F81" s="1125">
        <f t="shared" si="44"/>
        <v>0</v>
      </c>
      <c r="G81" s="1125"/>
      <c r="H81" s="1125">
        <f t="shared" si="35"/>
        <v>0</v>
      </c>
      <c r="I81" s="1125">
        <f t="shared" si="45"/>
        <v>0</v>
      </c>
      <c r="J81" s="1125">
        <f t="shared" si="45"/>
        <v>0</v>
      </c>
      <c r="K81" s="1125">
        <f t="shared" si="45"/>
        <v>0</v>
      </c>
      <c r="L81" s="1125"/>
      <c r="M81" s="1125">
        <f t="shared" si="37"/>
        <v>0</v>
      </c>
      <c r="N81" s="1125">
        <f t="shared" si="46"/>
        <v>0</v>
      </c>
      <c r="O81" s="1125">
        <f t="shared" si="46"/>
        <v>0</v>
      </c>
      <c r="P81" s="1125">
        <f t="shared" si="46"/>
        <v>0</v>
      </c>
      <c r="Q81" s="1125"/>
      <c r="R81" s="1125">
        <f t="shared" si="39"/>
        <v>0</v>
      </c>
      <c r="S81" s="1125">
        <f t="shared" si="47"/>
        <v>0</v>
      </c>
      <c r="T81" s="1125">
        <f t="shared" si="47"/>
        <v>0</v>
      </c>
      <c r="U81" s="1125">
        <f t="shared" si="47"/>
        <v>0</v>
      </c>
      <c r="V81" s="1125"/>
      <c r="W81" s="1125">
        <f t="shared" si="41"/>
        <v>0</v>
      </c>
      <c r="X81" s="1125">
        <f t="shared" si="48"/>
        <v>0</v>
      </c>
      <c r="Y81" s="1125">
        <f t="shared" si="48"/>
        <v>0</v>
      </c>
      <c r="Z81" s="1125">
        <f t="shared" si="48"/>
        <v>0</v>
      </c>
      <c r="AA81" s="1125"/>
      <c r="AB81" s="1125">
        <f t="shared" si="43"/>
        <v>0</v>
      </c>
      <c r="AC81" s="1126"/>
      <c r="AD81" s="1126"/>
      <c r="AE81" s="1126"/>
    </row>
    <row r="82" spans="2:31" x14ac:dyDescent="0.3">
      <c r="B82" s="492">
        <f t="shared" si="49"/>
        <v>13</v>
      </c>
      <c r="C82" s="497" t="s">
        <v>874</v>
      </c>
      <c r="D82" s="1125">
        <f t="shared" si="44"/>
        <v>0</v>
      </c>
      <c r="E82" s="1125">
        <f t="shared" si="44"/>
        <v>0</v>
      </c>
      <c r="F82" s="1125">
        <f t="shared" si="44"/>
        <v>0</v>
      </c>
      <c r="G82" s="1125"/>
      <c r="H82" s="1125">
        <f t="shared" si="35"/>
        <v>0</v>
      </c>
      <c r="I82" s="1125">
        <f t="shared" si="45"/>
        <v>0</v>
      </c>
      <c r="J82" s="1125">
        <f t="shared" si="45"/>
        <v>0</v>
      </c>
      <c r="K82" s="1125">
        <f t="shared" si="45"/>
        <v>0</v>
      </c>
      <c r="L82" s="1125"/>
      <c r="M82" s="1125">
        <f t="shared" si="37"/>
        <v>0</v>
      </c>
      <c r="N82" s="1125">
        <f t="shared" si="46"/>
        <v>0</v>
      </c>
      <c r="O82" s="1125">
        <f t="shared" si="46"/>
        <v>0</v>
      </c>
      <c r="P82" s="1125">
        <f t="shared" si="46"/>
        <v>0</v>
      </c>
      <c r="Q82" s="1125"/>
      <c r="R82" s="1125">
        <f t="shared" si="39"/>
        <v>0</v>
      </c>
      <c r="S82" s="1125">
        <f t="shared" si="47"/>
        <v>0</v>
      </c>
      <c r="T82" s="1125">
        <f t="shared" si="47"/>
        <v>0</v>
      </c>
      <c r="U82" s="1125">
        <f t="shared" si="47"/>
        <v>0</v>
      </c>
      <c r="V82" s="1125"/>
      <c r="W82" s="1125">
        <f t="shared" si="41"/>
        <v>0</v>
      </c>
      <c r="X82" s="1125">
        <f t="shared" si="48"/>
        <v>0</v>
      </c>
      <c r="Y82" s="1125">
        <f t="shared" si="48"/>
        <v>0</v>
      </c>
      <c r="Z82" s="1125">
        <f t="shared" si="48"/>
        <v>0</v>
      </c>
      <c r="AA82" s="1125"/>
      <c r="AB82" s="1125">
        <f t="shared" si="43"/>
        <v>0</v>
      </c>
      <c r="AC82" s="1126"/>
      <c r="AD82" s="1126"/>
      <c r="AE82" s="1126"/>
    </row>
    <row r="83" spans="2:31" x14ac:dyDescent="0.3">
      <c r="B83" s="492">
        <f t="shared" si="49"/>
        <v>14</v>
      </c>
      <c r="C83" s="497" t="s">
        <v>875</v>
      </c>
      <c r="D83" s="1125">
        <f t="shared" si="44"/>
        <v>0</v>
      </c>
      <c r="E83" s="1125">
        <f t="shared" si="44"/>
        <v>0</v>
      </c>
      <c r="F83" s="1125">
        <f t="shared" si="44"/>
        <v>0</v>
      </c>
      <c r="G83" s="1125"/>
      <c r="H83" s="1125">
        <f t="shared" si="35"/>
        <v>0</v>
      </c>
      <c r="I83" s="1125">
        <f t="shared" si="45"/>
        <v>0</v>
      </c>
      <c r="J83" s="1125">
        <f t="shared" si="45"/>
        <v>0</v>
      </c>
      <c r="K83" s="1125">
        <f t="shared" si="45"/>
        <v>0</v>
      </c>
      <c r="L83" s="1125"/>
      <c r="M83" s="1125">
        <f t="shared" si="37"/>
        <v>0</v>
      </c>
      <c r="N83" s="1125">
        <f t="shared" si="46"/>
        <v>0</v>
      </c>
      <c r="O83" s="1125">
        <f t="shared" si="46"/>
        <v>0</v>
      </c>
      <c r="P83" s="1125">
        <f t="shared" si="46"/>
        <v>0</v>
      </c>
      <c r="Q83" s="1125"/>
      <c r="R83" s="1125">
        <f t="shared" si="39"/>
        <v>0</v>
      </c>
      <c r="S83" s="1125">
        <f t="shared" si="47"/>
        <v>0</v>
      </c>
      <c r="T83" s="1125">
        <f t="shared" si="47"/>
        <v>0</v>
      </c>
      <c r="U83" s="1125">
        <f t="shared" si="47"/>
        <v>0</v>
      </c>
      <c r="V83" s="1125"/>
      <c r="W83" s="1125">
        <f t="shared" si="41"/>
        <v>0</v>
      </c>
      <c r="X83" s="1125">
        <f t="shared" si="48"/>
        <v>0</v>
      </c>
      <c r="Y83" s="1125">
        <f t="shared" si="48"/>
        <v>0</v>
      </c>
      <c r="Z83" s="1125">
        <f t="shared" si="48"/>
        <v>0</v>
      </c>
      <c r="AA83" s="1125"/>
      <c r="AB83" s="1125">
        <f t="shared" si="43"/>
        <v>0</v>
      </c>
      <c r="AC83" s="1126"/>
      <c r="AD83" s="1126"/>
      <c r="AE83" s="1126"/>
    </row>
    <row r="84" spans="2:31" x14ac:dyDescent="0.3">
      <c r="B84" s="492">
        <f t="shared" si="49"/>
        <v>15</v>
      </c>
      <c r="C84" s="497" t="s">
        <v>876</v>
      </c>
      <c r="D84" s="1125">
        <f t="shared" si="44"/>
        <v>0</v>
      </c>
      <c r="E84" s="1125">
        <f t="shared" si="44"/>
        <v>0</v>
      </c>
      <c r="F84" s="1125">
        <f t="shared" si="44"/>
        <v>0</v>
      </c>
      <c r="G84" s="1125"/>
      <c r="H84" s="1125">
        <f t="shared" si="35"/>
        <v>0</v>
      </c>
      <c r="I84" s="1125">
        <f t="shared" si="45"/>
        <v>0</v>
      </c>
      <c r="J84" s="1125">
        <f t="shared" si="45"/>
        <v>0</v>
      </c>
      <c r="K84" s="1125">
        <f t="shared" si="45"/>
        <v>0</v>
      </c>
      <c r="L84" s="1125"/>
      <c r="M84" s="1125">
        <f t="shared" si="37"/>
        <v>0</v>
      </c>
      <c r="N84" s="1125">
        <f t="shared" si="46"/>
        <v>0</v>
      </c>
      <c r="O84" s="1125">
        <f t="shared" si="46"/>
        <v>0</v>
      </c>
      <c r="P84" s="1125">
        <f t="shared" si="46"/>
        <v>0</v>
      </c>
      <c r="Q84" s="1125"/>
      <c r="R84" s="1125">
        <f t="shared" si="39"/>
        <v>0</v>
      </c>
      <c r="S84" s="1125">
        <f t="shared" si="47"/>
        <v>0</v>
      </c>
      <c r="T84" s="1125">
        <f t="shared" si="47"/>
        <v>0</v>
      </c>
      <c r="U84" s="1125">
        <f t="shared" si="47"/>
        <v>0</v>
      </c>
      <c r="V84" s="1125"/>
      <c r="W84" s="1125">
        <f t="shared" si="41"/>
        <v>0</v>
      </c>
      <c r="X84" s="1125">
        <f t="shared" si="48"/>
        <v>0</v>
      </c>
      <c r="Y84" s="1125">
        <f t="shared" si="48"/>
        <v>0</v>
      </c>
      <c r="Z84" s="1125">
        <f t="shared" si="48"/>
        <v>0</v>
      </c>
      <c r="AA84" s="1125"/>
      <c r="AB84" s="1125">
        <f t="shared" si="43"/>
        <v>0</v>
      </c>
      <c r="AC84" s="1126"/>
      <c r="AD84" s="1126"/>
      <c r="AE84" s="1126"/>
    </row>
    <row r="85" spans="2:31" x14ac:dyDescent="0.3">
      <c r="B85" s="492">
        <f t="shared" si="49"/>
        <v>16</v>
      </c>
      <c r="C85" s="497" t="s">
        <v>867</v>
      </c>
      <c r="D85" s="1125">
        <f t="shared" si="44"/>
        <v>0</v>
      </c>
      <c r="E85" s="1125">
        <f t="shared" si="44"/>
        <v>0</v>
      </c>
      <c r="F85" s="1125">
        <f t="shared" si="44"/>
        <v>0</v>
      </c>
      <c r="G85" s="1125"/>
      <c r="H85" s="1125">
        <f t="shared" si="35"/>
        <v>0</v>
      </c>
      <c r="I85" s="1125">
        <f t="shared" si="45"/>
        <v>0</v>
      </c>
      <c r="J85" s="1125">
        <f t="shared" si="45"/>
        <v>0</v>
      </c>
      <c r="K85" s="1125">
        <f t="shared" si="45"/>
        <v>0</v>
      </c>
      <c r="L85" s="1125"/>
      <c r="M85" s="1125">
        <f t="shared" si="37"/>
        <v>0</v>
      </c>
      <c r="N85" s="1125">
        <f t="shared" si="46"/>
        <v>0</v>
      </c>
      <c r="O85" s="1125">
        <f t="shared" si="46"/>
        <v>0</v>
      </c>
      <c r="P85" s="1125">
        <f t="shared" si="46"/>
        <v>0</v>
      </c>
      <c r="Q85" s="1125"/>
      <c r="R85" s="1125">
        <f t="shared" si="39"/>
        <v>0</v>
      </c>
      <c r="S85" s="1125">
        <f t="shared" si="47"/>
        <v>0</v>
      </c>
      <c r="T85" s="1125">
        <f t="shared" si="47"/>
        <v>0</v>
      </c>
      <c r="U85" s="1125">
        <f t="shared" si="47"/>
        <v>0</v>
      </c>
      <c r="V85" s="1125"/>
      <c r="W85" s="1125">
        <f t="shared" si="41"/>
        <v>0</v>
      </c>
      <c r="X85" s="1125">
        <f t="shared" si="48"/>
        <v>0</v>
      </c>
      <c r="Y85" s="1125">
        <f t="shared" si="48"/>
        <v>0</v>
      </c>
      <c r="Z85" s="1125">
        <f t="shared" si="48"/>
        <v>0</v>
      </c>
      <c r="AA85" s="1125"/>
      <c r="AB85" s="1125">
        <f t="shared" si="43"/>
        <v>0</v>
      </c>
      <c r="AC85" s="1126"/>
      <c r="AD85" s="1126"/>
      <c r="AE85" s="1126"/>
    </row>
    <row r="86" spans="2:31" x14ac:dyDescent="0.3">
      <c r="B86" s="492">
        <f t="shared" si="49"/>
        <v>17</v>
      </c>
      <c r="C86" s="497" t="s">
        <v>877</v>
      </c>
      <c r="D86" s="1125">
        <f t="shared" si="44"/>
        <v>0</v>
      </c>
      <c r="E86" s="1125">
        <f t="shared" si="44"/>
        <v>0.11471833333333332</v>
      </c>
      <c r="F86" s="1125">
        <f t="shared" si="44"/>
        <v>0</v>
      </c>
      <c r="G86" s="1125"/>
      <c r="H86" s="1125">
        <f t="shared" si="35"/>
        <v>0.11471833333333332</v>
      </c>
      <c r="I86" s="1125">
        <f t="shared" si="45"/>
        <v>0.11471833333333332</v>
      </c>
      <c r="J86" s="1125">
        <f t="shared" si="45"/>
        <v>0.14359833333333333</v>
      </c>
      <c r="K86" s="1125">
        <f t="shared" si="45"/>
        <v>0</v>
      </c>
      <c r="L86" s="1125"/>
      <c r="M86" s="1125">
        <f t="shared" si="37"/>
        <v>0.25831666666666664</v>
      </c>
      <c r="N86" s="1125">
        <f t="shared" si="46"/>
        <v>0.25831666666666664</v>
      </c>
      <c r="O86" s="1125">
        <f t="shared" si="46"/>
        <v>-8.9066666666666669E-3</v>
      </c>
      <c r="P86" s="1125">
        <f t="shared" si="46"/>
        <v>0</v>
      </c>
      <c r="Q86" s="1125"/>
      <c r="R86" s="1125">
        <f t="shared" si="39"/>
        <v>0.24940999999999997</v>
      </c>
      <c r="S86" s="1125">
        <f t="shared" si="47"/>
        <v>0.24940999999999999</v>
      </c>
      <c r="T86" s="1125">
        <f t="shared" si="47"/>
        <v>-8.9066666666666669E-3</v>
      </c>
      <c r="U86" s="1125">
        <f t="shared" si="47"/>
        <v>0</v>
      </c>
      <c r="V86" s="1125"/>
      <c r="W86" s="1125">
        <f t="shared" si="41"/>
        <v>0.24050333333333332</v>
      </c>
      <c r="X86" s="1125">
        <f t="shared" si="48"/>
        <v>0.24050333333333332</v>
      </c>
      <c r="Y86" s="1125">
        <f t="shared" si="48"/>
        <v>-8.9066666666666669E-3</v>
      </c>
      <c r="Z86" s="1125">
        <f t="shared" si="48"/>
        <v>0</v>
      </c>
      <c r="AA86" s="1125"/>
      <c r="AB86" s="1125">
        <f t="shared" si="43"/>
        <v>0.23159666666666665</v>
      </c>
      <c r="AC86" s="1126"/>
      <c r="AD86" s="1126"/>
      <c r="AE86" s="1126"/>
    </row>
    <row r="87" spans="2:31" ht="16" x14ac:dyDescent="0.3">
      <c r="B87" s="84"/>
      <c r="C87" s="99" t="s">
        <v>271</v>
      </c>
      <c r="D87" s="397">
        <f>SUM(D70:D86)</f>
        <v>0</v>
      </c>
      <c r="E87" s="397">
        <f t="shared" ref="E87:AB87" si="50">SUM(E70:E86)</f>
        <v>42.881017241666669</v>
      </c>
      <c r="F87" s="397">
        <f t="shared" si="50"/>
        <v>0</v>
      </c>
      <c r="G87" s="397">
        <f t="shared" si="50"/>
        <v>0</v>
      </c>
      <c r="H87" s="397">
        <f t="shared" si="50"/>
        <v>42.881017241666669</v>
      </c>
      <c r="I87" s="397">
        <f t="shared" si="50"/>
        <v>42.881017241666669</v>
      </c>
      <c r="J87" s="397">
        <f t="shared" si="50"/>
        <v>23.016355983333334</v>
      </c>
      <c r="K87" s="397">
        <f t="shared" si="50"/>
        <v>0</v>
      </c>
      <c r="L87" s="397">
        <f t="shared" si="50"/>
        <v>0</v>
      </c>
      <c r="M87" s="397">
        <f t="shared" si="50"/>
        <v>65.89737322500001</v>
      </c>
      <c r="N87" s="397">
        <f t="shared" si="50"/>
        <v>65.89737322500001</v>
      </c>
      <c r="O87" s="397">
        <f t="shared" si="50"/>
        <v>43.186510483333329</v>
      </c>
      <c r="P87" s="397">
        <f t="shared" si="50"/>
        <v>0</v>
      </c>
      <c r="Q87" s="397">
        <f t="shared" si="50"/>
        <v>0</v>
      </c>
      <c r="R87" s="397">
        <f t="shared" si="50"/>
        <v>109.08388370833333</v>
      </c>
      <c r="S87" s="397">
        <f t="shared" si="50"/>
        <v>109.08388370833335</v>
      </c>
      <c r="T87" s="397">
        <f t="shared" si="50"/>
        <v>-4.781156516666667</v>
      </c>
      <c r="U87" s="397">
        <f t="shared" si="50"/>
        <v>0</v>
      </c>
      <c r="V87" s="397">
        <f t="shared" si="50"/>
        <v>0</v>
      </c>
      <c r="W87" s="397">
        <f t="shared" si="50"/>
        <v>104.30272719166669</v>
      </c>
      <c r="X87" s="397">
        <f t="shared" si="50"/>
        <v>104.30272719166669</v>
      </c>
      <c r="Y87" s="397">
        <f t="shared" si="50"/>
        <v>29.480343483333332</v>
      </c>
      <c r="Z87" s="397">
        <f t="shared" si="50"/>
        <v>0</v>
      </c>
      <c r="AA87" s="397">
        <f t="shared" si="50"/>
        <v>0</v>
      </c>
      <c r="AB87" s="397">
        <f t="shared" si="50"/>
        <v>133.783070675</v>
      </c>
      <c r="AC87" s="1126"/>
      <c r="AD87" s="1126"/>
      <c r="AE87" s="1126"/>
    </row>
    <row r="88" spans="2:31" x14ac:dyDescent="0.3">
      <c r="B88" s="307"/>
      <c r="C88" s="666"/>
      <c r="D88" s="666"/>
      <c r="E88" s="666"/>
      <c r="F88" s="666"/>
      <c r="G88" s="666"/>
      <c r="H88" s="666"/>
      <c r="I88" s="666"/>
      <c r="J88" s="666"/>
      <c r="K88" s="666"/>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T326"/>
  <sheetViews>
    <sheetView showGridLines="0" view="pageBreakPreview" zoomScale="60" zoomScaleNormal="75" workbookViewId="0">
      <pane xSplit="3" ySplit="12" topLeftCell="D13" activePane="bottomRight" state="frozen"/>
      <selection pane="topRight" activeCell="D1" sqref="D1"/>
      <selection pane="bottomLeft" activeCell="A13" sqref="A13"/>
      <selection pane="bottomRight" activeCell="D25" sqref="D25"/>
    </sheetView>
  </sheetViews>
  <sheetFormatPr defaultColWidth="9.36328125" defaultRowHeight="14" x14ac:dyDescent="0.25"/>
  <cols>
    <col min="1" max="1" width="6.6328125" style="13" customWidth="1"/>
    <col min="2" max="2" width="7" style="100" customWidth="1"/>
    <col min="3" max="3" width="80" style="13" customWidth="1"/>
    <col min="4" max="4" width="21.36328125" style="13" customWidth="1"/>
    <col min="5" max="5" width="17.36328125" style="13" customWidth="1"/>
    <col min="6" max="6" width="21.36328125" style="13" customWidth="1"/>
    <col min="7" max="7" width="22.36328125" style="13" customWidth="1"/>
    <col min="8" max="10" width="20.6328125" style="13" customWidth="1"/>
    <col min="11" max="13" width="18.6328125" style="13" customWidth="1"/>
    <col min="14" max="14" width="18.6328125" style="61" customWidth="1"/>
    <col min="15" max="15" width="18.6328125" style="13" customWidth="1"/>
    <col min="16" max="18" width="16.54296875" style="13" customWidth="1"/>
    <col min="19" max="21" width="18.6328125" style="13" customWidth="1"/>
    <col min="22" max="16384" width="9.36328125" style="13"/>
  </cols>
  <sheetData>
    <row r="2" spans="2:19" x14ac:dyDescent="0.25">
      <c r="C2" s="14" t="str">
        <f>Index!B2</f>
        <v xml:space="preserve">      Maharashtra State Power Generation Company Ltd.</v>
      </c>
      <c r="D2" s="14"/>
      <c r="E2" s="14"/>
      <c r="F2" s="14"/>
      <c r="G2" s="14"/>
      <c r="H2" s="15"/>
      <c r="I2" s="15"/>
      <c r="J2" s="15"/>
      <c r="K2" s="15"/>
      <c r="L2" s="15"/>
      <c r="M2" s="15"/>
      <c r="N2" s="383"/>
      <c r="O2" s="15"/>
      <c r="P2" s="15"/>
      <c r="Q2" s="15"/>
      <c r="R2" s="15"/>
    </row>
    <row r="3" spans="2:19" s="5" customFormat="1" x14ac:dyDescent="0.3">
      <c r="B3" s="49"/>
      <c r="C3" s="14" t="str">
        <f>Index!B3</f>
        <v>MYT Petition Formats for SHP Hydro</v>
      </c>
      <c r="D3" s="16"/>
      <c r="E3" s="16"/>
      <c r="F3" s="16"/>
      <c r="G3" s="16"/>
      <c r="H3" s="17"/>
      <c r="I3" s="17"/>
      <c r="J3" s="17"/>
      <c r="K3" s="17"/>
      <c r="L3" s="17"/>
      <c r="M3" s="17"/>
      <c r="N3" s="63"/>
      <c r="O3" s="17"/>
      <c r="P3" s="17"/>
      <c r="Q3" s="17"/>
      <c r="R3" s="17"/>
    </row>
    <row r="4" spans="2:19" s="5" customFormat="1" x14ac:dyDescent="0.3">
      <c r="B4" s="49"/>
      <c r="C4" s="18" t="s">
        <v>52</v>
      </c>
      <c r="D4" s="18"/>
      <c r="E4" s="18"/>
      <c r="F4" s="18"/>
      <c r="G4" s="18"/>
      <c r="H4" s="17"/>
      <c r="I4" s="17"/>
      <c r="J4" s="17"/>
      <c r="K4" s="19"/>
      <c r="L4" s="19"/>
      <c r="M4" s="19"/>
      <c r="N4" s="63"/>
      <c r="O4" s="17"/>
      <c r="P4" s="17"/>
      <c r="Q4" s="17"/>
      <c r="R4" s="17"/>
    </row>
    <row r="5" spans="2:19" s="5" customFormat="1" x14ac:dyDescent="0.3">
      <c r="B5" s="49"/>
      <c r="C5" s="18"/>
      <c r="D5" s="18"/>
      <c r="E5" s="18"/>
      <c r="F5" s="18"/>
      <c r="G5" s="18"/>
      <c r="H5" s="17"/>
      <c r="I5" s="17"/>
      <c r="J5" s="17"/>
      <c r="K5" s="20"/>
      <c r="L5" s="20"/>
      <c r="M5" s="19"/>
      <c r="N5" s="63"/>
      <c r="O5" s="17"/>
      <c r="P5" s="17"/>
      <c r="Q5" s="17"/>
      <c r="R5" s="17"/>
    </row>
    <row r="6" spans="2:19" s="5" customFormat="1" x14ac:dyDescent="0.3">
      <c r="B6" s="49"/>
      <c r="C6" s="18"/>
      <c r="D6" s="18"/>
      <c r="E6" s="18"/>
      <c r="F6" s="18"/>
      <c r="G6" s="18"/>
      <c r="H6" s="17"/>
      <c r="I6" s="17"/>
      <c r="J6" s="17"/>
      <c r="K6" s="20"/>
      <c r="L6" s="20"/>
      <c r="M6" s="19"/>
      <c r="N6" s="63"/>
      <c r="O6" s="17"/>
      <c r="P6" s="17"/>
      <c r="Q6" s="17"/>
      <c r="R6" s="17"/>
    </row>
    <row r="7" spans="2:19" s="5" customFormat="1" x14ac:dyDescent="0.3">
      <c r="B7" s="49"/>
      <c r="C7" s="18"/>
      <c r="D7" s="18"/>
      <c r="E7" s="18"/>
      <c r="F7" s="18"/>
      <c r="G7" s="18"/>
      <c r="H7" s="17"/>
      <c r="I7" s="17"/>
      <c r="J7" s="17"/>
      <c r="K7" s="20"/>
      <c r="L7" s="20"/>
      <c r="M7" s="19"/>
      <c r="N7" s="63"/>
      <c r="O7" s="17"/>
      <c r="P7" s="17"/>
      <c r="Q7" s="17"/>
      <c r="R7" s="17"/>
    </row>
    <row r="8" spans="2:19" s="5" customFormat="1" ht="17.5" x14ac:dyDescent="0.3">
      <c r="B8" s="49"/>
      <c r="C8" s="103" t="s">
        <v>408</v>
      </c>
      <c r="D8" s="103"/>
      <c r="E8" s="103"/>
      <c r="F8" s="103"/>
      <c r="G8" s="103"/>
      <c r="H8" s="17"/>
      <c r="I8" s="17"/>
      <c r="J8" s="17"/>
      <c r="K8" s="20"/>
      <c r="L8" s="20"/>
      <c r="M8" s="19"/>
      <c r="N8" s="63"/>
      <c r="O8" s="17"/>
      <c r="P8" s="17"/>
      <c r="Q8" s="17"/>
      <c r="R8" s="17"/>
    </row>
    <row r="9" spans="2:19" s="5" customFormat="1" x14ac:dyDescent="0.3">
      <c r="B9" s="49"/>
      <c r="C9" s="18"/>
      <c r="D9" s="69"/>
      <c r="E9" s="69"/>
      <c r="F9" s="69"/>
      <c r="G9" s="69"/>
      <c r="H9" s="49"/>
      <c r="I9" s="49"/>
      <c r="J9" s="49"/>
      <c r="K9" s="20"/>
      <c r="L9" s="20"/>
      <c r="M9" s="346"/>
      <c r="N9" s="384"/>
      <c r="O9" s="49"/>
      <c r="Q9" s="49"/>
      <c r="R9" s="49"/>
      <c r="S9" s="328" t="s">
        <v>10</v>
      </c>
    </row>
    <row r="10" spans="2:19" ht="26" customHeight="1" x14ac:dyDescent="0.25">
      <c r="B10" s="1476" t="s">
        <v>346</v>
      </c>
      <c r="C10" s="1476" t="s">
        <v>26</v>
      </c>
      <c r="D10" s="1583" t="s">
        <v>519</v>
      </c>
      <c r="E10" s="1584"/>
      <c r="F10" s="1585"/>
      <c r="G10" s="1583" t="s">
        <v>520</v>
      </c>
      <c r="H10" s="1584"/>
      <c r="I10" s="1585"/>
      <c r="J10" s="1583" t="s">
        <v>521</v>
      </c>
      <c r="K10" s="1584"/>
      <c r="L10" s="1585"/>
      <c r="M10" s="601" t="s">
        <v>940</v>
      </c>
      <c r="N10" s="601" t="s">
        <v>941</v>
      </c>
      <c r="O10" s="589" t="s">
        <v>945</v>
      </c>
      <c r="P10" s="589" t="s">
        <v>942</v>
      </c>
      <c r="Q10" s="589" t="s">
        <v>944</v>
      </c>
      <c r="R10" s="1497" t="s">
        <v>27</v>
      </c>
    </row>
    <row r="11" spans="2:19" ht="49.5" customHeight="1" x14ac:dyDescent="0.25">
      <c r="B11" s="1476"/>
      <c r="C11" s="1476"/>
      <c r="D11" s="345" t="s">
        <v>982</v>
      </c>
      <c r="E11" s="335" t="s">
        <v>79</v>
      </c>
      <c r="F11" s="335" t="s">
        <v>459</v>
      </c>
      <c r="G11" s="345" t="s">
        <v>982</v>
      </c>
      <c r="H11" s="335" t="s">
        <v>79</v>
      </c>
      <c r="I11" s="335" t="s">
        <v>459</v>
      </c>
      <c r="J11" s="940" t="s">
        <v>982</v>
      </c>
      <c r="K11" s="940" t="s">
        <v>80</v>
      </c>
      <c r="L11" s="940" t="s">
        <v>460</v>
      </c>
      <c r="M11" s="335" t="s">
        <v>943</v>
      </c>
      <c r="N11" s="591" t="s">
        <v>943</v>
      </c>
      <c r="O11" s="591" t="s">
        <v>943</v>
      </c>
      <c r="P11" s="591" t="s">
        <v>943</v>
      </c>
      <c r="Q11" s="591" t="s">
        <v>943</v>
      </c>
      <c r="R11" s="1497"/>
    </row>
    <row r="12" spans="2:19" ht="26" customHeight="1" x14ac:dyDescent="0.25">
      <c r="B12" s="246"/>
      <c r="C12" s="246"/>
      <c r="D12" s="335" t="s">
        <v>81</v>
      </c>
      <c r="E12" s="335" t="s">
        <v>82</v>
      </c>
      <c r="F12" s="335" t="s">
        <v>692</v>
      </c>
      <c r="G12" s="335" t="s">
        <v>397</v>
      </c>
      <c r="H12" s="335" t="s">
        <v>414</v>
      </c>
      <c r="I12" s="335" t="s">
        <v>465</v>
      </c>
      <c r="J12" s="940" t="s">
        <v>415</v>
      </c>
      <c r="K12" s="940" t="s">
        <v>416</v>
      </c>
      <c r="L12" s="940" t="s">
        <v>523</v>
      </c>
      <c r="M12" s="335" t="s">
        <v>670</v>
      </c>
      <c r="N12" s="335" t="s">
        <v>604</v>
      </c>
      <c r="O12" s="591" t="s">
        <v>605</v>
      </c>
      <c r="P12" s="591" t="s">
        <v>606</v>
      </c>
      <c r="Q12" s="591" t="s">
        <v>607</v>
      </c>
      <c r="R12" s="1498"/>
    </row>
    <row r="13" spans="2:19" x14ac:dyDescent="0.3">
      <c r="B13" s="101">
        <v>1</v>
      </c>
      <c r="C13" s="25" t="s">
        <v>402</v>
      </c>
      <c r="D13" s="364"/>
      <c r="E13" s="352"/>
      <c r="F13" s="364">
        <f>E13-D13</f>
        <v>0</v>
      </c>
      <c r="G13" s="352"/>
      <c r="H13" s="352"/>
      <c r="I13" s="352">
        <f>H13-G13</f>
        <v>0</v>
      </c>
      <c r="J13" s="352"/>
      <c r="K13" s="365"/>
      <c r="L13" s="352">
        <f>K13-J13</f>
        <v>0</v>
      </c>
      <c r="M13" s="353"/>
      <c r="N13" s="353"/>
      <c r="O13" s="353"/>
      <c r="P13" s="353"/>
      <c r="Q13" s="353"/>
      <c r="R13" s="23"/>
    </row>
    <row r="14" spans="2:19" x14ac:dyDescent="0.3">
      <c r="B14" s="101">
        <f>B13+1</f>
        <v>2</v>
      </c>
      <c r="C14" s="25" t="s">
        <v>403</v>
      </c>
      <c r="D14" s="364"/>
      <c r="E14" s="352"/>
      <c r="F14" s="364">
        <f t="shared" ref="F14:F24" si="0">E14-D14</f>
        <v>0</v>
      </c>
      <c r="G14" s="352"/>
      <c r="H14" s="352"/>
      <c r="I14" s="352">
        <f t="shared" ref="I14:I24" si="1">H14-G14</f>
        <v>0</v>
      </c>
      <c r="J14" s="352"/>
      <c r="K14" s="365"/>
      <c r="L14" s="352">
        <f t="shared" ref="L14:L24" si="2">K14-J14</f>
        <v>0</v>
      </c>
      <c r="M14" s="353"/>
      <c r="N14" s="353"/>
      <c r="O14" s="353"/>
      <c r="P14" s="353"/>
      <c r="Q14" s="353"/>
      <c r="R14" s="23"/>
    </row>
    <row r="15" spans="2:19" x14ac:dyDescent="0.3">
      <c r="B15" s="398">
        <f t="shared" ref="B15:B20" si="3">B14+1</f>
        <v>3</v>
      </c>
      <c r="C15" s="399" t="s">
        <v>404</v>
      </c>
      <c r="D15" s="400">
        <v>1.9609273819479203</v>
      </c>
      <c r="E15" s="400">
        <f>D15</f>
        <v>1.9609273819479203</v>
      </c>
      <c r="F15" s="400">
        <f>E15-D15</f>
        <v>0</v>
      </c>
      <c r="G15" s="404">
        <f>D19</f>
        <v>8.248580098170935</v>
      </c>
      <c r="H15" s="404">
        <f>E19</f>
        <v>9.3654973487752624</v>
      </c>
      <c r="I15" s="404">
        <f>H15-G15</f>
        <v>1.1169172506043274</v>
      </c>
      <c r="J15" s="404">
        <f>G19</f>
        <v>26.812580098170933</v>
      </c>
      <c r="K15" s="404">
        <f>H19</f>
        <v>12.558543912766556</v>
      </c>
      <c r="L15" s="404">
        <f t="shared" si="2"/>
        <v>-14.254036185404377</v>
      </c>
      <c r="M15" s="404">
        <f>K19</f>
        <v>42.607733920234757</v>
      </c>
      <c r="N15" s="404">
        <f>M19</f>
        <v>67.882065720564654</v>
      </c>
      <c r="O15" s="404">
        <f>N19</f>
        <v>78.728187504965902</v>
      </c>
      <c r="P15" s="404">
        <f>O19</f>
        <v>103.23896378936715</v>
      </c>
      <c r="Q15" s="404">
        <f>P19</f>
        <v>111.54211404926451</v>
      </c>
      <c r="R15" s="401"/>
    </row>
    <row r="16" spans="2:19" x14ac:dyDescent="0.3">
      <c r="B16" s="101">
        <f t="shared" si="3"/>
        <v>4</v>
      </c>
      <c r="C16" s="25" t="s">
        <v>405</v>
      </c>
      <c r="D16" s="364"/>
      <c r="E16" s="608">
        <f>'F5'!$F$31*E15/'F5'!D31</f>
        <v>0.18583458477528589</v>
      </c>
      <c r="F16" s="364">
        <f t="shared" si="0"/>
        <v>0.18583458477528589</v>
      </c>
      <c r="G16" s="352"/>
      <c r="H16" s="608">
        <f>'F5'!$K$31*H15/'F5'!I31</f>
        <v>0.11466066434244859</v>
      </c>
      <c r="I16" s="352">
        <f t="shared" si="1"/>
        <v>0.11466066434244859</v>
      </c>
      <c r="J16" s="352"/>
      <c r="K16" s="608">
        <f>'F5'!$P$31*K15/'F5'!N31</f>
        <v>0</v>
      </c>
      <c r="L16" s="352">
        <f t="shared" si="2"/>
        <v>0</v>
      </c>
      <c r="M16" s="607">
        <f>'F5'!$U$31*M15/'F5'!S31</f>
        <v>0</v>
      </c>
      <c r="N16" s="607">
        <f>'F5'!$F$57*N15/'F5'!D57</f>
        <v>0</v>
      </c>
      <c r="O16" s="607">
        <f>'F5'!$K$57*O15/'F5'!I57</f>
        <v>0</v>
      </c>
      <c r="P16" s="607">
        <f>'F5'!$P$57*P15/'F5'!N57</f>
        <v>0</v>
      </c>
      <c r="Q16" s="607">
        <f>'F5'!$U$57*Q15/'F5'!S57</f>
        <v>0</v>
      </c>
      <c r="R16" s="23"/>
    </row>
    <row r="17" spans="2:19" x14ac:dyDescent="0.3">
      <c r="B17" s="101">
        <f t="shared" si="3"/>
        <v>5</v>
      </c>
      <c r="C17" s="25" t="s">
        <v>478</v>
      </c>
      <c r="D17" s="352">
        <f>'F4'!D14*70%</f>
        <v>8.6387979999999995</v>
      </c>
      <c r="E17" s="352">
        <f>'F4'!E14*70%</f>
        <v>9.2142276772000002</v>
      </c>
      <c r="F17" s="364">
        <f t="shared" si="0"/>
        <v>0.57542967720000071</v>
      </c>
      <c r="G17" s="352">
        <f>'F4'!G14*70%</f>
        <v>18.564</v>
      </c>
      <c r="H17" s="352">
        <f>'F4'!H14*70%</f>
        <v>5.2508897909999996</v>
      </c>
      <c r="I17" s="352">
        <f t="shared" si="1"/>
        <v>-13.313110209000001</v>
      </c>
      <c r="J17" s="365">
        <f>'F4'!J14*70%</f>
        <v>12.431999999999999</v>
      </c>
      <c r="K17" s="365">
        <f>'F4'!M14*70%</f>
        <v>33.553080610000002</v>
      </c>
      <c r="L17" s="352">
        <f t="shared" si="2"/>
        <v>21.121080610000003</v>
      </c>
      <c r="M17" s="353">
        <f>'F4'!O14*70%</f>
        <v>30.742611666666665</v>
      </c>
      <c r="N17" s="353">
        <f>'F4'!P14*70%</f>
        <v>17.699499999999997</v>
      </c>
      <c r="O17" s="353">
        <f>'F4'!Q14*70%</f>
        <v>32.878999999999998</v>
      </c>
      <c r="P17" s="353">
        <f>'F4'!R14*70%</f>
        <v>19.41333333333333</v>
      </c>
      <c r="Q17" s="353">
        <f>'F4'!S14*70%</f>
        <v>24.5</v>
      </c>
      <c r="R17" s="23"/>
    </row>
    <row r="18" spans="2:19" s="361" customFormat="1" x14ac:dyDescent="0.3">
      <c r="B18" s="277">
        <f t="shared" si="3"/>
        <v>6</v>
      </c>
      <c r="C18" s="57" t="s">
        <v>412</v>
      </c>
      <c r="D18" s="364">
        <v>2.3511452837769853</v>
      </c>
      <c r="E18" s="403">
        <f>IF((E15-E16+E17)&lt;'F5 (T)'!$E$85,(E15-E16+E17),'F5 (T)'!$E$85)</f>
        <v>1.8096577103726583</v>
      </c>
      <c r="F18" s="403">
        <f>E18-D18</f>
        <v>-0.54148757340432696</v>
      </c>
      <c r="G18" s="365"/>
      <c r="H18" s="403">
        <f>IF((H15-H16+H17)&lt;'F5 (T)'!$J$85,(H15-H16+H17),'F5 (T)'!$J$85)</f>
        <v>2.0578432270087061</v>
      </c>
      <c r="I18" s="365">
        <f t="shared" si="1"/>
        <v>2.0578432270087061</v>
      </c>
      <c r="J18" s="365"/>
      <c r="K18" s="403">
        <f>IF((K15-K16+K17)&lt;'F5 (T)'!$O$85,(K15-K16+K17),'F5 (T)'!$O$85)</f>
        <v>3.5038906025318064</v>
      </c>
      <c r="L18" s="365">
        <f t="shared" si="2"/>
        <v>3.5038906025318064</v>
      </c>
      <c r="M18" s="403">
        <f>IF((M15-M16+M17)&lt;'F5 (T)'!$T$85,(M15-M16+M17),'F5 (T)'!$T$85)</f>
        <v>5.4682798663367684</v>
      </c>
      <c r="N18" s="403">
        <f>IF((N15-N16+N17)&lt;'F5 (T)'!$E$112,(N15-N16+N17),'F5 (T)'!$E$112)</f>
        <v>6.8533782155987577</v>
      </c>
      <c r="O18" s="403">
        <f>IF((O15-O16+O17)&lt;'F5 (T)'!$J$112,(O15-O16+O17),'F5 (T)'!$J$112)</f>
        <v>8.3682237155987576</v>
      </c>
      <c r="P18" s="403">
        <f>IF((P15-P16+P17)&lt;'F5 (T)'!$O$112,(P15-P16+P17),'F5 (T)'!$O$112)</f>
        <v>11.110183073435957</v>
      </c>
      <c r="Q18" s="403">
        <f>IF((Q15-Q16+Q17)&lt;'F5 (T)'!$T$112,(Q15-Q16+Q17),'F5 (T)'!$T$112)</f>
        <v>12.558209740102626</v>
      </c>
      <c r="R18" s="121"/>
    </row>
    <row r="19" spans="2:19" x14ac:dyDescent="0.3">
      <c r="B19" s="398">
        <f t="shared" si="3"/>
        <v>7</v>
      </c>
      <c r="C19" s="399" t="s">
        <v>406</v>
      </c>
      <c r="D19" s="400">
        <f>D15-D16+D17-D18</f>
        <v>8.248580098170935</v>
      </c>
      <c r="E19" s="400">
        <f>E15+E17-E18</f>
        <v>9.3654973487752624</v>
      </c>
      <c r="F19" s="400">
        <f t="shared" si="0"/>
        <v>1.1169172506043274</v>
      </c>
      <c r="G19" s="400">
        <f>G15-G16+G17-G18</f>
        <v>26.812580098170933</v>
      </c>
      <c r="H19" s="400">
        <f>H15+H17-H18</f>
        <v>12.558543912766556</v>
      </c>
      <c r="I19" s="404">
        <f t="shared" si="1"/>
        <v>-14.254036185404377</v>
      </c>
      <c r="J19" s="400">
        <f>J15-J16+J17-J18</f>
        <v>39.244580098170928</v>
      </c>
      <c r="K19" s="400">
        <f>K15+K17-K18</f>
        <v>42.607733920234757</v>
      </c>
      <c r="L19" s="404">
        <f t="shared" si="2"/>
        <v>3.3631538220638291</v>
      </c>
      <c r="M19" s="400">
        <f t="shared" ref="M19:Q19" si="4">M15+M17-M18</f>
        <v>67.882065720564654</v>
      </c>
      <c r="N19" s="400">
        <f t="shared" si="4"/>
        <v>78.728187504965902</v>
      </c>
      <c r="O19" s="400">
        <f t="shared" si="4"/>
        <v>103.23896378936715</v>
      </c>
      <c r="P19" s="400">
        <f t="shared" si="4"/>
        <v>111.54211404926451</v>
      </c>
      <c r="Q19" s="400">
        <f t="shared" si="4"/>
        <v>123.48390430916189</v>
      </c>
      <c r="R19" s="401"/>
    </row>
    <row r="20" spans="2:19" x14ac:dyDescent="0.3">
      <c r="B20" s="101">
        <f t="shared" si="3"/>
        <v>8</v>
      </c>
      <c r="C20" s="25" t="s">
        <v>407</v>
      </c>
      <c r="D20" s="364"/>
      <c r="E20" s="352"/>
      <c r="F20" s="364">
        <f t="shared" si="0"/>
        <v>0</v>
      </c>
      <c r="G20" s="352"/>
      <c r="H20" s="352"/>
      <c r="I20" s="352">
        <f t="shared" si="1"/>
        <v>0</v>
      </c>
      <c r="J20" s="352"/>
      <c r="K20" s="365"/>
      <c r="L20" s="352">
        <f t="shared" si="2"/>
        <v>0</v>
      </c>
      <c r="M20" s="353"/>
      <c r="N20" s="353"/>
      <c r="O20" s="353"/>
      <c r="P20" s="353"/>
      <c r="Q20" s="353"/>
      <c r="R20" s="23"/>
    </row>
    <row r="21" spans="2:19" x14ac:dyDescent="0.3">
      <c r="B21" s="101">
        <v>9</v>
      </c>
      <c r="C21" s="25" t="s">
        <v>482</v>
      </c>
      <c r="D21" s="364">
        <f>AVERAGE(D15,D19)</f>
        <v>5.1047537400594276</v>
      </c>
      <c r="E21" s="364">
        <f>AVERAGE(E15,E19)</f>
        <v>5.6632123653615913</v>
      </c>
      <c r="F21" s="364">
        <f t="shared" si="0"/>
        <v>0.55845862530216372</v>
      </c>
      <c r="G21" s="364">
        <f>AVERAGE(G15,G19)</f>
        <v>17.530580098170933</v>
      </c>
      <c r="H21" s="364">
        <f>AVERAGE(H15,H19)</f>
        <v>10.962020630770908</v>
      </c>
      <c r="I21" s="364">
        <f t="shared" si="1"/>
        <v>-6.5685594674000249</v>
      </c>
      <c r="J21" s="364">
        <f>AVERAGE(J15,J19)</f>
        <v>33.028580098170934</v>
      </c>
      <c r="K21" s="364">
        <f>AVERAGE(K15,K19)</f>
        <v>27.583138916500658</v>
      </c>
      <c r="L21" s="364">
        <f t="shared" si="2"/>
        <v>-5.4454411816702759</v>
      </c>
      <c r="M21" s="364">
        <f>AVERAGE(M15,M19)</f>
        <v>55.244899820399709</v>
      </c>
      <c r="N21" s="364">
        <f>AVERAGE(N15,N19)</f>
        <v>73.305126612765278</v>
      </c>
      <c r="O21" s="364">
        <f t="shared" ref="O21:Q21" si="5">AVERAGE(O15,O19)</f>
        <v>90.983575647166532</v>
      </c>
      <c r="P21" s="364">
        <f t="shared" si="5"/>
        <v>107.39053891931583</v>
      </c>
      <c r="Q21" s="364">
        <f t="shared" si="5"/>
        <v>117.5130091792132</v>
      </c>
      <c r="R21" s="23"/>
    </row>
    <row r="22" spans="2:19" ht="15.5" x14ac:dyDescent="0.35">
      <c r="B22" s="101">
        <v>10</v>
      </c>
      <c r="C22" s="25" t="s">
        <v>479</v>
      </c>
      <c r="D22" s="415">
        <v>0.10321638252760711</v>
      </c>
      <c r="E22" s="515">
        <f>IFERROR((E123+E270)/(E268+E121),0)</f>
        <v>0.10540483574231072</v>
      </c>
      <c r="F22" s="415">
        <f t="shared" si="0"/>
        <v>2.188453214703609E-3</v>
      </c>
      <c r="G22" s="415">
        <v>0.10321638252760711</v>
      </c>
      <c r="H22" s="515">
        <f>(H123+H270)/(H268+H121)</f>
        <v>0.10380369415734163</v>
      </c>
      <c r="I22" s="515">
        <f t="shared" si="1"/>
        <v>5.8731162973452156E-4</v>
      </c>
      <c r="J22" s="415">
        <v>0.10321638252760711</v>
      </c>
      <c r="K22" s="515">
        <f>H22</f>
        <v>0.10380369415734163</v>
      </c>
      <c r="L22" s="416">
        <f t="shared" si="2"/>
        <v>5.8731162973452156E-4</v>
      </c>
      <c r="M22" s="515">
        <f>K22</f>
        <v>0.10380369415734163</v>
      </c>
      <c r="N22" s="515">
        <f>M22</f>
        <v>0.10380369415734163</v>
      </c>
      <c r="O22" s="515">
        <f t="shared" ref="O22:Q22" si="6">N22</f>
        <v>0.10380369415734163</v>
      </c>
      <c r="P22" s="515">
        <f t="shared" si="6"/>
        <v>0.10380369415734163</v>
      </c>
      <c r="Q22" s="515">
        <f t="shared" si="6"/>
        <v>0.10380369415734163</v>
      </c>
      <c r="R22" s="23"/>
    </row>
    <row r="23" spans="2:19" ht="15.5" x14ac:dyDescent="0.35">
      <c r="B23" s="398">
        <v>11</v>
      </c>
      <c r="C23" s="399" t="s">
        <v>33</v>
      </c>
      <c r="D23" s="402">
        <f>D21*D22</f>
        <v>0.52689421474320697</v>
      </c>
      <c r="E23" s="402">
        <f>E21*E22</f>
        <v>0.59692996914476149</v>
      </c>
      <c r="F23" s="402">
        <f t="shared" si="0"/>
        <v>7.0035754401554517E-2</v>
      </c>
      <c r="G23" s="402">
        <f>G21*G22</f>
        <v>1.8094430613436672</v>
      </c>
      <c r="H23" s="402">
        <f>H21*H22</f>
        <v>1.1378982369030126</v>
      </c>
      <c r="I23" s="402">
        <f t="shared" si="1"/>
        <v>-0.67154482444065455</v>
      </c>
      <c r="J23" s="402">
        <f>J21*J22</f>
        <v>3.4090905577565223</v>
      </c>
      <c r="K23" s="609">
        <f>K21*K22</f>
        <v>2.8632317159879017</v>
      </c>
      <c r="L23" s="402">
        <f t="shared" si="2"/>
        <v>-0.54585884176862054</v>
      </c>
      <c r="M23" s="402">
        <f>M21*M22</f>
        <v>5.7346246847097486</v>
      </c>
      <c r="N23" s="402">
        <f>N21*N22</f>
        <v>7.6093429430766912</v>
      </c>
      <c r="O23" s="402">
        <f t="shared" ref="O23:Q23" si="7">O21*O22</f>
        <v>9.4444312598198312</v>
      </c>
      <c r="P23" s="402">
        <f t="shared" si="7"/>
        <v>11.147534657372754</v>
      </c>
      <c r="Q23" s="402">
        <f t="shared" si="7"/>
        <v>12.198284464347926</v>
      </c>
      <c r="R23" s="401"/>
    </row>
    <row r="24" spans="2:19" x14ac:dyDescent="0.3">
      <c r="B24" s="101">
        <v>12</v>
      </c>
      <c r="C24" s="25" t="s">
        <v>409</v>
      </c>
      <c r="D24" s="364">
        <v>3.0883109999999998E-3</v>
      </c>
      <c r="E24" s="364">
        <v>1.806392E-3</v>
      </c>
      <c r="F24" s="364">
        <f t="shared" si="0"/>
        <v>-1.2819189999999999E-3</v>
      </c>
      <c r="G24" s="352">
        <v>3.0883109999999998E-3</v>
      </c>
      <c r="H24" s="364">
        <v>4.9195130000000004E-3</v>
      </c>
      <c r="I24" s="352">
        <f t="shared" si="1"/>
        <v>1.8312020000000005E-3</v>
      </c>
      <c r="J24" s="364">
        <v>3.0883109999999998E-3</v>
      </c>
      <c r="K24" s="364">
        <v>4.9195130000000004E-3</v>
      </c>
      <c r="L24" s="352">
        <f t="shared" si="2"/>
        <v>1.8312020000000005E-3</v>
      </c>
      <c r="M24" s="478">
        <v>4.9195130000000004E-3</v>
      </c>
      <c r="N24" s="478">
        <v>4.9195130000000004E-3</v>
      </c>
      <c r="O24" s="478">
        <v>4.9195130000000004E-3</v>
      </c>
      <c r="P24" s="478">
        <v>4.9195130000000004E-3</v>
      </c>
      <c r="Q24" s="478">
        <v>4.9195130000000004E-3</v>
      </c>
      <c r="R24" s="23"/>
    </row>
    <row r="25" spans="2:19" x14ac:dyDescent="0.3">
      <c r="B25" s="102">
        <v>13</v>
      </c>
      <c r="C25" s="24" t="s">
        <v>480</v>
      </c>
      <c r="D25" s="358">
        <f>SUM(D23:D24)</f>
        <v>0.52998252574320692</v>
      </c>
      <c r="E25" s="358">
        <f>SUM(E23:E24)</f>
        <v>0.59873636114476148</v>
      </c>
      <c r="F25" s="358">
        <f t="shared" ref="F25:N25" si="8">SUM(F23:F24)</f>
        <v>6.8753835401554511E-2</v>
      </c>
      <c r="G25" s="358">
        <f>SUM(G23:G24)</f>
        <v>1.8125313723436671</v>
      </c>
      <c r="H25" s="358">
        <f t="shared" si="8"/>
        <v>1.1428177499030125</v>
      </c>
      <c r="I25" s="358">
        <f t="shared" si="8"/>
        <v>-0.66971362244065458</v>
      </c>
      <c r="J25" s="358">
        <f>SUM(J23:J24)</f>
        <v>3.4121788687565222</v>
      </c>
      <c r="K25" s="358">
        <f t="shared" si="8"/>
        <v>2.8681512289879016</v>
      </c>
      <c r="L25" s="358">
        <f t="shared" si="8"/>
        <v>-0.54402763976862056</v>
      </c>
      <c r="M25" s="358">
        <f t="shared" si="8"/>
        <v>5.7395441977097486</v>
      </c>
      <c r="N25" s="358">
        <f t="shared" si="8"/>
        <v>7.6142624560766912</v>
      </c>
      <c r="O25" s="358">
        <f t="shared" ref="O25:Q25" si="9">SUM(O23:O24)</f>
        <v>9.449350772819832</v>
      </c>
      <c r="P25" s="358">
        <f t="shared" si="9"/>
        <v>11.152454170372755</v>
      </c>
      <c r="Q25" s="358">
        <f t="shared" si="9"/>
        <v>12.203203977347927</v>
      </c>
      <c r="R25" s="23"/>
    </row>
    <row r="26" spans="2:19" s="5" customFormat="1" x14ac:dyDescent="0.3">
      <c r="B26" s="49"/>
      <c r="C26" s="18"/>
      <c r="D26" s="18"/>
      <c r="E26" s="18"/>
      <c r="F26" s="18"/>
      <c r="G26" s="18"/>
      <c r="H26" s="17"/>
      <c r="I26" s="17"/>
      <c r="J26" s="17"/>
      <c r="K26" s="20"/>
      <c r="L26" s="20"/>
      <c r="M26" s="19"/>
      <c r="N26" s="63"/>
      <c r="O26" s="17"/>
      <c r="P26" s="17"/>
      <c r="Q26" s="17"/>
      <c r="R26" s="17"/>
    </row>
    <row r="27" spans="2:19" ht="17.5" x14ac:dyDescent="0.25">
      <c r="C27" s="103" t="s">
        <v>481</v>
      </c>
      <c r="D27" s="103"/>
      <c r="E27" s="103"/>
      <c r="F27" s="103"/>
      <c r="G27" s="103"/>
    </row>
    <row r="28" spans="2:19" x14ac:dyDescent="0.25">
      <c r="R28" s="1590" t="s">
        <v>27</v>
      </c>
      <c r="S28" s="21" t="s">
        <v>10</v>
      </c>
    </row>
    <row r="29" spans="2:19" ht="26" customHeight="1" x14ac:dyDescent="0.25">
      <c r="B29" s="1476" t="s">
        <v>346</v>
      </c>
      <c r="C29" s="1476" t="s">
        <v>26</v>
      </c>
      <c r="D29" s="1583" t="s">
        <v>519</v>
      </c>
      <c r="E29" s="1584"/>
      <c r="F29" s="1585"/>
      <c r="G29" s="1583" t="s">
        <v>520</v>
      </c>
      <c r="H29" s="1584"/>
      <c r="I29" s="1585"/>
      <c r="J29" s="1583" t="s">
        <v>521</v>
      </c>
      <c r="K29" s="1584"/>
      <c r="L29" s="1585"/>
      <c r="M29" s="601" t="s">
        <v>940</v>
      </c>
      <c r="N29" s="601" t="s">
        <v>941</v>
      </c>
      <c r="O29" s="589" t="s">
        <v>945</v>
      </c>
      <c r="P29" s="589" t="s">
        <v>942</v>
      </c>
      <c r="Q29" s="589" t="s">
        <v>944</v>
      </c>
      <c r="R29" s="1591"/>
    </row>
    <row r="30" spans="2:19" ht="31.5" customHeight="1" x14ac:dyDescent="0.25">
      <c r="B30" s="1476"/>
      <c r="C30" s="1476"/>
      <c r="D30" s="345" t="s">
        <v>458</v>
      </c>
      <c r="E30" s="335" t="s">
        <v>79</v>
      </c>
      <c r="F30" s="335" t="s">
        <v>459</v>
      </c>
      <c r="G30" s="345" t="s">
        <v>458</v>
      </c>
      <c r="H30" s="335" t="s">
        <v>79</v>
      </c>
      <c r="I30" s="335" t="s">
        <v>459</v>
      </c>
      <c r="J30" s="335" t="s">
        <v>458</v>
      </c>
      <c r="K30" s="382" t="s">
        <v>80</v>
      </c>
      <c r="L30" s="335" t="s">
        <v>460</v>
      </c>
      <c r="M30" s="591" t="s">
        <v>943</v>
      </c>
      <c r="N30" s="591" t="s">
        <v>943</v>
      </c>
      <c r="O30" s="591" t="s">
        <v>943</v>
      </c>
      <c r="P30" s="591" t="s">
        <v>943</v>
      </c>
      <c r="Q30" s="591" t="s">
        <v>943</v>
      </c>
      <c r="R30" s="1592"/>
    </row>
    <row r="31" spans="2:19" x14ac:dyDescent="0.25">
      <c r="B31" s="255"/>
      <c r="C31" s="256"/>
      <c r="D31" s="591" t="s">
        <v>81</v>
      </c>
      <c r="E31" s="591" t="s">
        <v>82</v>
      </c>
      <c r="F31" s="591" t="s">
        <v>692</v>
      </c>
      <c r="G31" s="591" t="s">
        <v>397</v>
      </c>
      <c r="H31" s="591" t="s">
        <v>414</v>
      </c>
      <c r="I31" s="591" t="s">
        <v>465</v>
      </c>
      <c r="J31" s="604" t="s">
        <v>415</v>
      </c>
      <c r="K31" s="604" t="s">
        <v>416</v>
      </c>
      <c r="L31" s="604" t="s">
        <v>523</v>
      </c>
      <c r="M31" s="591" t="s">
        <v>670</v>
      </c>
      <c r="N31" s="591" t="s">
        <v>604</v>
      </c>
      <c r="O31" s="591" t="s">
        <v>605</v>
      </c>
      <c r="P31" s="591" t="s">
        <v>606</v>
      </c>
      <c r="Q31" s="591" t="s">
        <v>607</v>
      </c>
      <c r="R31" s="23"/>
    </row>
    <row r="32" spans="2:19" x14ac:dyDescent="0.3">
      <c r="B32" s="102">
        <v>1</v>
      </c>
      <c r="C32" s="445" t="s">
        <v>1414</v>
      </c>
      <c r="D32" s="23"/>
      <c r="E32" s="23"/>
      <c r="F32" s="23"/>
      <c r="G32" s="23"/>
      <c r="H32" s="23"/>
      <c r="I32" s="23"/>
      <c r="J32" s="23"/>
      <c r="K32" s="23"/>
      <c r="L32" s="23"/>
      <c r="M32" s="23"/>
      <c r="N32" s="23"/>
      <c r="O32" s="23"/>
      <c r="P32" s="23"/>
      <c r="Q32" s="23"/>
      <c r="R32" s="23"/>
    </row>
    <row r="33" spans="2:18" x14ac:dyDescent="0.3">
      <c r="B33" s="101">
        <v>1.1000000000000001</v>
      </c>
      <c r="C33" s="446" t="s">
        <v>29</v>
      </c>
      <c r="D33" s="467"/>
      <c r="E33" s="467">
        <v>0</v>
      </c>
      <c r="F33" s="467">
        <f>E33-D33</f>
        <v>0</v>
      </c>
      <c r="G33" s="468"/>
      <c r="H33" s="467">
        <v>0</v>
      </c>
      <c r="I33" s="467">
        <f>H33-G33</f>
        <v>0</v>
      </c>
      <c r="J33" s="468"/>
      <c r="K33" s="467"/>
      <c r="L33" s="467">
        <f>K33-J33</f>
        <v>0</v>
      </c>
      <c r="M33" s="468"/>
      <c r="N33" s="468"/>
      <c r="O33" s="468"/>
      <c r="P33" s="468"/>
      <c r="Q33" s="468"/>
      <c r="R33" s="23"/>
    </row>
    <row r="34" spans="2:18" x14ac:dyDescent="0.3">
      <c r="B34" s="101">
        <f t="shared" ref="B34:B40" si="10">B33+0.1</f>
        <v>1.2000000000000002</v>
      </c>
      <c r="C34" s="446" t="s">
        <v>405</v>
      </c>
      <c r="D34" s="467"/>
      <c r="E34" s="467">
        <v>0</v>
      </c>
      <c r="F34" s="467">
        <f t="shared" ref="F34:F40" si="11">E34-D34</f>
        <v>0</v>
      </c>
      <c r="G34" s="468"/>
      <c r="H34" s="467">
        <v>0</v>
      </c>
      <c r="I34" s="467">
        <f t="shared" ref="I34:I40" si="12">H34-G34</f>
        <v>0</v>
      </c>
      <c r="J34" s="468"/>
      <c r="K34" s="467"/>
      <c r="L34" s="467">
        <f t="shared" ref="L34:L40" si="13">K34-J34</f>
        <v>0</v>
      </c>
      <c r="M34" s="468"/>
      <c r="N34" s="468"/>
      <c r="O34" s="468"/>
      <c r="P34" s="468"/>
      <c r="Q34" s="468"/>
      <c r="R34" s="23"/>
    </row>
    <row r="35" spans="2:18" x14ac:dyDescent="0.3">
      <c r="B35" s="101">
        <f t="shared" si="10"/>
        <v>1.3000000000000003</v>
      </c>
      <c r="C35" s="446" t="s">
        <v>345</v>
      </c>
      <c r="D35" s="467"/>
      <c r="E35" s="467">
        <v>0</v>
      </c>
      <c r="F35" s="467">
        <f t="shared" si="11"/>
        <v>0</v>
      </c>
      <c r="G35" s="468"/>
      <c r="H35" s="467">
        <v>0</v>
      </c>
      <c r="I35" s="467">
        <f t="shared" si="12"/>
        <v>0</v>
      </c>
      <c r="J35" s="468"/>
      <c r="K35" s="467"/>
      <c r="L35" s="467">
        <f t="shared" si="13"/>
        <v>0</v>
      </c>
      <c r="M35" s="468"/>
      <c r="N35" s="468"/>
      <c r="O35" s="468"/>
      <c r="P35" s="468"/>
      <c r="Q35" s="468"/>
      <c r="R35" s="23"/>
    </row>
    <row r="36" spans="2:18" x14ac:dyDescent="0.3">
      <c r="B36" s="101">
        <f t="shared" si="10"/>
        <v>1.4000000000000004</v>
      </c>
      <c r="C36" s="446" t="s">
        <v>30</v>
      </c>
      <c r="D36" s="467"/>
      <c r="E36" s="467">
        <v>0</v>
      </c>
      <c r="F36" s="467">
        <f t="shared" si="11"/>
        <v>0</v>
      </c>
      <c r="G36" s="468"/>
      <c r="H36" s="467">
        <v>0</v>
      </c>
      <c r="I36" s="467">
        <f t="shared" si="12"/>
        <v>0</v>
      </c>
      <c r="J36" s="468"/>
      <c r="K36" s="467"/>
      <c r="L36" s="467">
        <f t="shared" si="13"/>
        <v>0</v>
      </c>
      <c r="M36" s="468"/>
      <c r="N36" s="468"/>
      <c r="O36" s="468"/>
      <c r="P36" s="468"/>
      <c r="Q36" s="468"/>
      <c r="R36" s="23"/>
    </row>
    <row r="37" spans="2:18" x14ac:dyDescent="0.3">
      <c r="B37" s="101">
        <f t="shared" si="10"/>
        <v>1.5000000000000004</v>
      </c>
      <c r="C37" s="446" t="s">
        <v>31</v>
      </c>
      <c r="D37" s="467"/>
      <c r="E37" s="467">
        <f>+E33-E34+E35-E36</f>
        <v>0</v>
      </c>
      <c r="F37" s="467">
        <f t="shared" si="11"/>
        <v>0</v>
      </c>
      <c r="G37" s="468"/>
      <c r="H37" s="467">
        <f>+H33-H34+H35-H36</f>
        <v>0</v>
      </c>
      <c r="I37" s="467">
        <f t="shared" si="12"/>
        <v>0</v>
      </c>
      <c r="J37" s="468"/>
      <c r="K37" s="468">
        <f>+J33-J34+J35-J36</f>
        <v>0</v>
      </c>
      <c r="L37" s="467">
        <f t="shared" si="13"/>
        <v>0</v>
      </c>
      <c r="M37" s="468"/>
      <c r="N37" s="468"/>
      <c r="O37" s="468"/>
      <c r="P37" s="468"/>
      <c r="Q37" s="468"/>
      <c r="R37" s="23"/>
    </row>
    <row r="38" spans="2:18" x14ac:dyDescent="0.3">
      <c r="B38" s="101">
        <f t="shared" si="10"/>
        <v>1.6000000000000005</v>
      </c>
      <c r="C38" s="446" t="s">
        <v>483</v>
      </c>
      <c r="D38" s="467"/>
      <c r="E38" s="395">
        <f t="shared" ref="E38" si="14">AVERAGE(E33,E37)</f>
        <v>0</v>
      </c>
      <c r="F38" s="467">
        <f t="shared" si="11"/>
        <v>0</v>
      </c>
      <c r="G38" s="468"/>
      <c r="H38" s="395">
        <f t="shared" ref="H38" si="15">AVERAGE(H33,H37)</f>
        <v>0</v>
      </c>
      <c r="I38" s="467">
        <f t="shared" si="12"/>
        <v>0</v>
      </c>
      <c r="J38" s="468"/>
      <c r="K38" s="467"/>
      <c r="L38" s="467">
        <f t="shared" si="13"/>
        <v>0</v>
      </c>
      <c r="M38" s="468"/>
      <c r="N38" s="468"/>
      <c r="O38" s="468"/>
      <c r="P38" s="468"/>
      <c r="Q38" s="468"/>
      <c r="R38" s="23"/>
    </row>
    <row r="39" spans="2:18" x14ac:dyDescent="0.3">
      <c r="B39" s="101">
        <f t="shared" si="10"/>
        <v>1.7000000000000006</v>
      </c>
      <c r="C39" s="446" t="s">
        <v>32</v>
      </c>
      <c r="D39" s="467"/>
      <c r="E39" s="467">
        <f>IFERROR(E40/E38,0)</f>
        <v>0</v>
      </c>
      <c r="F39" s="467">
        <f>IFERROR(F40/F38,0)</f>
        <v>0</v>
      </c>
      <c r="G39" s="468"/>
      <c r="H39" s="467">
        <f>IFERROR(H40/H38,0)</f>
        <v>0</v>
      </c>
      <c r="I39" s="467" t="e">
        <f>I40/I38</f>
        <v>#DIV/0!</v>
      </c>
      <c r="J39" s="468"/>
      <c r="K39" s="468" t="e">
        <f>J40/K38</f>
        <v>#DIV/0!</v>
      </c>
      <c r="L39" s="467" t="e">
        <f>L40/L38</f>
        <v>#DIV/0!</v>
      </c>
      <c r="M39" s="468"/>
      <c r="N39" s="468"/>
      <c r="O39" s="468"/>
      <c r="P39" s="468"/>
      <c r="Q39" s="468"/>
      <c r="R39" s="23"/>
    </row>
    <row r="40" spans="2:18" x14ac:dyDescent="0.3">
      <c r="B40" s="101">
        <f t="shared" si="10"/>
        <v>1.8000000000000007</v>
      </c>
      <c r="C40" s="446" t="s">
        <v>33</v>
      </c>
      <c r="D40" s="467"/>
      <c r="E40" s="467">
        <v>0</v>
      </c>
      <c r="F40" s="467">
        <f t="shared" si="11"/>
        <v>0</v>
      </c>
      <c r="G40" s="468"/>
      <c r="H40" s="467">
        <v>0</v>
      </c>
      <c r="I40" s="467">
        <f t="shared" si="12"/>
        <v>0</v>
      </c>
      <c r="J40" s="468"/>
      <c r="K40" s="467"/>
      <c r="L40" s="467">
        <f t="shared" si="13"/>
        <v>0</v>
      </c>
      <c r="M40" s="468"/>
      <c r="N40" s="468"/>
      <c r="O40" s="468"/>
      <c r="P40" s="468"/>
      <c r="Q40" s="468"/>
      <c r="R40" s="23"/>
    </row>
    <row r="41" spans="2:18" x14ac:dyDescent="0.3">
      <c r="B41" s="101"/>
      <c r="C41" s="446"/>
      <c r="D41" s="467"/>
      <c r="E41" s="467"/>
      <c r="F41" s="467"/>
      <c r="G41" s="468"/>
      <c r="H41" s="467"/>
      <c r="I41" s="467"/>
      <c r="J41" s="468"/>
      <c r="K41" s="467"/>
      <c r="L41" s="467"/>
      <c r="M41" s="468"/>
      <c r="N41" s="468"/>
      <c r="O41" s="468"/>
      <c r="P41" s="468"/>
      <c r="Q41" s="468"/>
      <c r="R41" s="23"/>
    </row>
    <row r="42" spans="2:18" x14ac:dyDescent="0.3">
      <c r="B42" s="102">
        <v>2</v>
      </c>
      <c r="C42" s="447" t="s">
        <v>1415</v>
      </c>
      <c r="D42" s="467"/>
      <c r="E42" s="467"/>
      <c r="F42" s="467"/>
      <c r="G42" s="468"/>
      <c r="H42" s="467"/>
      <c r="I42" s="467"/>
      <c r="J42" s="468"/>
      <c r="K42" s="467"/>
      <c r="L42" s="467"/>
      <c r="M42" s="468"/>
      <c r="N42" s="468"/>
      <c r="O42" s="468"/>
      <c r="P42" s="468"/>
      <c r="Q42" s="468"/>
      <c r="R42" s="23"/>
    </row>
    <row r="43" spans="2:18" x14ac:dyDescent="0.3">
      <c r="B43" s="101">
        <f t="shared" ref="B43:B50" si="16">B42+0.1</f>
        <v>2.1</v>
      </c>
      <c r="C43" s="446" t="s">
        <v>29</v>
      </c>
      <c r="D43" s="467"/>
      <c r="E43" s="467">
        <v>0</v>
      </c>
      <c r="F43" s="467">
        <f t="shared" ref="F43:F50" si="17">E43-D43</f>
        <v>0</v>
      </c>
      <c r="G43" s="468"/>
      <c r="H43" s="467">
        <v>0</v>
      </c>
      <c r="I43" s="467">
        <f t="shared" ref="I43:I50" si="18">H43-G43</f>
        <v>0</v>
      </c>
      <c r="J43" s="468"/>
      <c r="K43" s="467"/>
      <c r="L43" s="467">
        <f t="shared" ref="L43:L50" si="19">K43-J43</f>
        <v>0</v>
      </c>
      <c r="M43" s="468"/>
      <c r="N43" s="468"/>
      <c r="O43" s="468"/>
      <c r="P43" s="468"/>
      <c r="Q43" s="468"/>
      <c r="R43" s="23"/>
    </row>
    <row r="44" spans="2:18" x14ac:dyDescent="0.3">
      <c r="B44" s="101">
        <f t="shared" si="16"/>
        <v>2.2000000000000002</v>
      </c>
      <c r="C44" s="446" t="s">
        <v>405</v>
      </c>
      <c r="D44" s="467"/>
      <c r="E44" s="467">
        <v>0</v>
      </c>
      <c r="F44" s="467">
        <f t="shared" si="17"/>
        <v>0</v>
      </c>
      <c r="G44" s="468"/>
      <c r="H44" s="467">
        <v>0</v>
      </c>
      <c r="I44" s="467">
        <f t="shared" si="18"/>
        <v>0</v>
      </c>
      <c r="J44" s="468"/>
      <c r="K44" s="467"/>
      <c r="L44" s="467">
        <f t="shared" si="19"/>
        <v>0</v>
      </c>
      <c r="M44" s="468"/>
      <c r="N44" s="468"/>
      <c r="O44" s="468"/>
      <c r="P44" s="468"/>
      <c r="Q44" s="468"/>
      <c r="R44" s="23"/>
    </row>
    <row r="45" spans="2:18" x14ac:dyDescent="0.3">
      <c r="B45" s="101">
        <f t="shared" si="16"/>
        <v>2.3000000000000003</v>
      </c>
      <c r="C45" s="446" t="s">
        <v>345</v>
      </c>
      <c r="D45" s="467"/>
      <c r="E45" s="467">
        <v>0</v>
      </c>
      <c r="F45" s="467">
        <f t="shared" si="17"/>
        <v>0</v>
      </c>
      <c r="G45" s="468"/>
      <c r="H45" s="467">
        <v>0</v>
      </c>
      <c r="I45" s="467">
        <f t="shared" si="18"/>
        <v>0</v>
      </c>
      <c r="J45" s="468"/>
      <c r="K45" s="467"/>
      <c r="L45" s="467">
        <f t="shared" si="19"/>
        <v>0</v>
      </c>
      <c r="M45" s="468"/>
      <c r="N45" s="468"/>
      <c r="O45" s="468"/>
      <c r="P45" s="468"/>
      <c r="Q45" s="468"/>
      <c r="R45" s="23"/>
    </row>
    <row r="46" spans="2:18" x14ac:dyDescent="0.3">
      <c r="B46" s="101">
        <f t="shared" si="16"/>
        <v>2.4000000000000004</v>
      </c>
      <c r="C46" s="446" t="s">
        <v>30</v>
      </c>
      <c r="D46" s="467"/>
      <c r="E46" s="467">
        <v>0</v>
      </c>
      <c r="F46" s="467">
        <f t="shared" si="17"/>
        <v>0</v>
      </c>
      <c r="G46" s="468"/>
      <c r="H46" s="467">
        <v>0</v>
      </c>
      <c r="I46" s="467">
        <f t="shared" si="18"/>
        <v>0</v>
      </c>
      <c r="J46" s="468"/>
      <c r="K46" s="467"/>
      <c r="L46" s="467">
        <f t="shared" si="19"/>
        <v>0</v>
      </c>
      <c r="M46" s="468"/>
      <c r="N46" s="468"/>
      <c r="O46" s="468"/>
      <c r="P46" s="468"/>
      <c r="Q46" s="468"/>
      <c r="R46" s="23"/>
    </row>
    <row r="47" spans="2:18" x14ac:dyDescent="0.3">
      <c r="B47" s="101">
        <f t="shared" si="16"/>
        <v>2.5000000000000004</v>
      </c>
      <c r="C47" s="446" t="s">
        <v>31</v>
      </c>
      <c r="D47" s="467"/>
      <c r="E47" s="467">
        <f>+E43-E44+E45-E46</f>
        <v>0</v>
      </c>
      <c r="F47" s="467">
        <f t="shared" si="17"/>
        <v>0</v>
      </c>
      <c r="G47" s="468"/>
      <c r="H47" s="467">
        <f>+H43-H44+H45-H46</f>
        <v>0</v>
      </c>
      <c r="I47" s="467">
        <f t="shared" si="18"/>
        <v>0</v>
      </c>
      <c r="J47" s="468"/>
      <c r="K47" s="468">
        <f>+J43-J44+J45-J46</f>
        <v>0</v>
      </c>
      <c r="L47" s="467">
        <f t="shared" si="19"/>
        <v>0</v>
      </c>
      <c r="M47" s="468"/>
      <c r="N47" s="468"/>
      <c r="O47" s="468"/>
      <c r="P47" s="468"/>
      <c r="Q47" s="468"/>
      <c r="R47" s="23"/>
    </row>
    <row r="48" spans="2:18" x14ac:dyDescent="0.3">
      <c r="B48" s="101">
        <f t="shared" si="16"/>
        <v>2.6000000000000005</v>
      </c>
      <c r="C48" s="446" t="s">
        <v>483</v>
      </c>
      <c r="D48" s="467"/>
      <c r="E48" s="395">
        <f t="shared" ref="E48" si="20">AVERAGE(E43,E47)</f>
        <v>0</v>
      </c>
      <c r="F48" s="467">
        <f t="shared" si="17"/>
        <v>0</v>
      </c>
      <c r="G48" s="468"/>
      <c r="H48" s="395">
        <f t="shared" ref="H48" si="21">AVERAGE(H43,H47)</f>
        <v>0</v>
      </c>
      <c r="I48" s="467">
        <f t="shared" si="18"/>
        <v>0</v>
      </c>
      <c r="J48" s="468"/>
      <c r="K48" s="467"/>
      <c r="L48" s="467">
        <f t="shared" si="19"/>
        <v>0</v>
      </c>
      <c r="M48" s="468"/>
      <c r="N48" s="468"/>
      <c r="O48" s="468"/>
      <c r="P48" s="468"/>
      <c r="Q48" s="468"/>
      <c r="R48" s="23"/>
    </row>
    <row r="49" spans="2:18" x14ac:dyDescent="0.3">
      <c r="B49" s="101">
        <f t="shared" si="16"/>
        <v>2.7000000000000006</v>
      </c>
      <c r="C49" s="446" t="s">
        <v>32</v>
      </c>
      <c r="D49" s="467"/>
      <c r="E49" s="467">
        <f>IFERROR(E50/E48,0)</f>
        <v>0</v>
      </c>
      <c r="F49" s="467">
        <f>IFERROR(F50/F48,0)</f>
        <v>0</v>
      </c>
      <c r="G49" s="468"/>
      <c r="H49" s="467">
        <f>IFERROR(H50/H48,0)</f>
        <v>0</v>
      </c>
      <c r="I49" s="467" t="e">
        <f>I50/I48</f>
        <v>#DIV/0!</v>
      </c>
      <c r="J49" s="468"/>
      <c r="K49" s="468" t="e">
        <f>J50/K48</f>
        <v>#DIV/0!</v>
      </c>
      <c r="L49" s="467" t="e">
        <f>L50/L48</f>
        <v>#DIV/0!</v>
      </c>
      <c r="M49" s="468"/>
      <c r="N49" s="468"/>
      <c r="O49" s="468"/>
      <c r="P49" s="468"/>
      <c r="Q49" s="468"/>
      <c r="R49" s="23"/>
    </row>
    <row r="50" spans="2:18" x14ac:dyDescent="0.3">
      <c r="B50" s="101">
        <f t="shared" si="16"/>
        <v>2.8000000000000007</v>
      </c>
      <c r="C50" s="446" t="s">
        <v>33</v>
      </c>
      <c r="D50" s="467"/>
      <c r="E50" s="467">
        <v>0</v>
      </c>
      <c r="F50" s="467">
        <f t="shared" si="17"/>
        <v>0</v>
      </c>
      <c r="G50" s="468"/>
      <c r="H50" s="467">
        <v>0</v>
      </c>
      <c r="I50" s="467">
        <f t="shared" si="18"/>
        <v>0</v>
      </c>
      <c r="J50" s="468"/>
      <c r="K50" s="467"/>
      <c r="L50" s="467">
        <f t="shared" si="19"/>
        <v>0</v>
      </c>
      <c r="M50" s="468"/>
      <c r="N50" s="468"/>
      <c r="O50" s="468"/>
      <c r="P50" s="468"/>
      <c r="Q50" s="468"/>
      <c r="R50" s="23"/>
    </row>
    <row r="51" spans="2:18" x14ac:dyDescent="0.3">
      <c r="B51" s="102"/>
      <c r="C51" s="447"/>
      <c r="D51" s="467"/>
      <c r="E51" s="467"/>
      <c r="F51" s="467"/>
      <c r="G51" s="468"/>
      <c r="H51" s="467"/>
      <c r="I51" s="467"/>
      <c r="J51" s="468"/>
      <c r="K51" s="467"/>
      <c r="L51" s="467"/>
      <c r="M51" s="468"/>
      <c r="N51" s="468"/>
      <c r="O51" s="468"/>
      <c r="P51" s="468"/>
      <c r="Q51" s="468"/>
      <c r="R51" s="23"/>
    </row>
    <row r="52" spans="2:18" x14ac:dyDescent="0.3">
      <c r="B52" s="101">
        <v>3</v>
      </c>
      <c r="C52" s="446" t="s">
        <v>1416</v>
      </c>
      <c r="D52" s="467"/>
      <c r="E52" s="467"/>
      <c r="F52" s="467"/>
      <c r="G52" s="468"/>
      <c r="H52" s="467"/>
      <c r="I52" s="467"/>
      <c r="J52" s="468"/>
      <c r="K52" s="467"/>
      <c r="L52" s="467"/>
      <c r="M52" s="468"/>
      <c r="N52" s="468"/>
      <c r="O52" s="468"/>
      <c r="P52" s="468"/>
      <c r="Q52" s="468"/>
      <c r="R52" s="23"/>
    </row>
    <row r="53" spans="2:18" x14ac:dyDescent="0.3">
      <c r="B53" s="101">
        <f>B52+0.1</f>
        <v>3.1</v>
      </c>
      <c r="C53" s="446" t="s">
        <v>29</v>
      </c>
      <c r="D53" s="467"/>
      <c r="E53" s="467">
        <v>0</v>
      </c>
      <c r="F53" s="467">
        <f t="shared" ref="F53:F60" si="22">E53-D53</f>
        <v>0</v>
      </c>
      <c r="G53" s="468"/>
      <c r="H53" s="467">
        <v>0</v>
      </c>
      <c r="I53" s="467">
        <f t="shared" ref="I53:I60" si="23">H53-G53</f>
        <v>0</v>
      </c>
      <c r="J53" s="468"/>
      <c r="K53" s="467"/>
      <c r="L53" s="467">
        <f t="shared" ref="L53:L60" si="24">K53-J53</f>
        <v>0</v>
      </c>
      <c r="M53" s="468"/>
      <c r="N53" s="468"/>
      <c r="O53" s="468"/>
      <c r="P53" s="468"/>
      <c r="Q53" s="468"/>
      <c r="R53" s="23"/>
    </row>
    <row r="54" spans="2:18" x14ac:dyDescent="0.3">
      <c r="B54" s="101">
        <f t="shared" ref="B54:B60" si="25">B53+0.1</f>
        <v>3.2</v>
      </c>
      <c r="C54" s="446" t="s">
        <v>405</v>
      </c>
      <c r="D54" s="467"/>
      <c r="E54" s="467">
        <v>0</v>
      </c>
      <c r="F54" s="467">
        <f t="shared" si="22"/>
        <v>0</v>
      </c>
      <c r="G54" s="468"/>
      <c r="H54" s="467">
        <v>0</v>
      </c>
      <c r="I54" s="467">
        <f t="shared" si="23"/>
        <v>0</v>
      </c>
      <c r="J54" s="468"/>
      <c r="K54" s="467"/>
      <c r="L54" s="467">
        <f t="shared" si="24"/>
        <v>0</v>
      </c>
      <c r="M54" s="468"/>
      <c r="N54" s="468"/>
      <c r="O54" s="468"/>
      <c r="P54" s="468"/>
      <c r="Q54" s="468"/>
      <c r="R54" s="23"/>
    </row>
    <row r="55" spans="2:18" x14ac:dyDescent="0.3">
      <c r="B55" s="101">
        <f t="shared" si="25"/>
        <v>3.3000000000000003</v>
      </c>
      <c r="C55" s="446" t="s">
        <v>345</v>
      </c>
      <c r="D55" s="467"/>
      <c r="E55" s="467">
        <v>0</v>
      </c>
      <c r="F55" s="467">
        <f t="shared" si="22"/>
        <v>0</v>
      </c>
      <c r="G55" s="468"/>
      <c r="H55" s="467">
        <v>0</v>
      </c>
      <c r="I55" s="467">
        <f t="shared" si="23"/>
        <v>0</v>
      </c>
      <c r="J55" s="468"/>
      <c r="K55" s="467"/>
      <c r="L55" s="467">
        <f t="shared" si="24"/>
        <v>0</v>
      </c>
      <c r="M55" s="468"/>
      <c r="N55" s="468"/>
      <c r="O55" s="468"/>
      <c r="P55" s="468"/>
      <c r="Q55" s="468"/>
      <c r="R55" s="23"/>
    </row>
    <row r="56" spans="2:18" x14ac:dyDescent="0.3">
      <c r="B56" s="101">
        <f t="shared" si="25"/>
        <v>3.4000000000000004</v>
      </c>
      <c r="C56" s="446" t="s">
        <v>30</v>
      </c>
      <c r="D56" s="467"/>
      <c r="E56" s="467">
        <v>0</v>
      </c>
      <c r="F56" s="467">
        <f t="shared" si="22"/>
        <v>0</v>
      </c>
      <c r="G56" s="468"/>
      <c r="H56" s="467">
        <v>0</v>
      </c>
      <c r="I56" s="467">
        <f t="shared" si="23"/>
        <v>0</v>
      </c>
      <c r="J56" s="468"/>
      <c r="K56" s="467"/>
      <c r="L56" s="467">
        <f t="shared" si="24"/>
        <v>0</v>
      </c>
      <c r="M56" s="468"/>
      <c r="N56" s="468"/>
      <c r="O56" s="468"/>
      <c r="P56" s="468"/>
      <c r="Q56" s="468"/>
      <c r="R56" s="23"/>
    </row>
    <row r="57" spans="2:18" x14ac:dyDescent="0.3">
      <c r="B57" s="101">
        <f t="shared" si="25"/>
        <v>3.5000000000000004</v>
      </c>
      <c r="C57" s="446" t="s">
        <v>31</v>
      </c>
      <c r="D57" s="467"/>
      <c r="E57" s="467">
        <f>+E53-E54+E55-E56</f>
        <v>0</v>
      </c>
      <c r="F57" s="467">
        <f t="shared" si="22"/>
        <v>0</v>
      </c>
      <c r="G57" s="468"/>
      <c r="H57" s="467">
        <f>+H53-H54+H55-H56</f>
        <v>0</v>
      </c>
      <c r="I57" s="467">
        <f t="shared" si="23"/>
        <v>0</v>
      </c>
      <c r="J57" s="468"/>
      <c r="K57" s="468">
        <f>+J53-J54+J55-J56</f>
        <v>0</v>
      </c>
      <c r="L57" s="467">
        <f t="shared" si="24"/>
        <v>0</v>
      </c>
      <c r="M57" s="468"/>
      <c r="N57" s="468"/>
      <c r="O57" s="468"/>
      <c r="P57" s="468"/>
      <c r="Q57" s="468"/>
      <c r="R57" s="23"/>
    </row>
    <row r="58" spans="2:18" x14ac:dyDescent="0.3">
      <c r="B58" s="101">
        <f t="shared" si="25"/>
        <v>3.6000000000000005</v>
      </c>
      <c r="C58" s="446" t="s">
        <v>483</v>
      </c>
      <c r="D58" s="467"/>
      <c r="E58" s="395">
        <f t="shared" ref="E58" si="26">AVERAGE(E53,E57)</f>
        <v>0</v>
      </c>
      <c r="F58" s="467">
        <f t="shared" si="22"/>
        <v>0</v>
      </c>
      <c r="G58" s="468"/>
      <c r="H58" s="395">
        <f t="shared" ref="H58" si="27">AVERAGE(H53,H57)</f>
        <v>0</v>
      </c>
      <c r="I58" s="467">
        <f t="shared" si="23"/>
        <v>0</v>
      </c>
      <c r="J58" s="468"/>
      <c r="K58" s="467"/>
      <c r="L58" s="467">
        <f t="shared" si="24"/>
        <v>0</v>
      </c>
      <c r="M58" s="468"/>
      <c r="N58" s="468"/>
      <c r="O58" s="468"/>
      <c r="P58" s="468"/>
      <c r="Q58" s="468"/>
      <c r="R58" s="23"/>
    </row>
    <row r="59" spans="2:18" x14ac:dyDescent="0.3">
      <c r="B59" s="101">
        <f t="shared" si="25"/>
        <v>3.7000000000000006</v>
      </c>
      <c r="C59" s="446" t="s">
        <v>32</v>
      </c>
      <c r="D59" s="467"/>
      <c r="E59" s="467">
        <f>IFERROR(E60/E58,0)</f>
        <v>0</v>
      </c>
      <c r="F59" s="467">
        <f>IFERROR(F60/F58,0)</f>
        <v>0</v>
      </c>
      <c r="G59" s="468"/>
      <c r="H59" s="467">
        <f>IFERROR(H60/H58,0)</f>
        <v>0</v>
      </c>
      <c r="I59" s="467" t="e">
        <f>I60/I58</f>
        <v>#DIV/0!</v>
      </c>
      <c r="J59" s="468"/>
      <c r="K59" s="468" t="e">
        <f>J60/K58</f>
        <v>#DIV/0!</v>
      </c>
      <c r="L59" s="467" t="e">
        <f>L60/L58</f>
        <v>#DIV/0!</v>
      </c>
      <c r="M59" s="468"/>
      <c r="N59" s="468"/>
      <c r="O59" s="468"/>
      <c r="P59" s="468"/>
      <c r="Q59" s="468"/>
      <c r="R59" s="23"/>
    </row>
    <row r="60" spans="2:18" x14ac:dyDescent="0.3">
      <c r="B60" s="101">
        <f t="shared" si="25"/>
        <v>3.8000000000000007</v>
      </c>
      <c r="C60" s="446" t="s">
        <v>33</v>
      </c>
      <c r="D60" s="467"/>
      <c r="E60" s="467">
        <v>0</v>
      </c>
      <c r="F60" s="467">
        <f t="shared" si="22"/>
        <v>0</v>
      </c>
      <c r="G60" s="468"/>
      <c r="H60" s="467">
        <v>0</v>
      </c>
      <c r="I60" s="467">
        <f t="shared" si="23"/>
        <v>0</v>
      </c>
      <c r="J60" s="468"/>
      <c r="K60" s="467"/>
      <c r="L60" s="467">
        <f t="shared" si="24"/>
        <v>0</v>
      </c>
      <c r="M60" s="468"/>
      <c r="N60" s="468"/>
      <c r="O60" s="468"/>
      <c r="P60" s="468"/>
      <c r="Q60" s="468"/>
      <c r="R60" s="23"/>
    </row>
    <row r="61" spans="2:18" x14ac:dyDescent="0.3">
      <c r="B61" s="101"/>
      <c r="C61" s="446"/>
      <c r="D61" s="467"/>
      <c r="E61" s="467"/>
      <c r="F61" s="467"/>
      <c r="G61" s="468"/>
      <c r="H61" s="467"/>
      <c r="I61" s="467"/>
      <c r="J61" s="468"/>
      <c r="K61" s="467"/>
      <c r="L61" s="467"/>
      <c r="M61" s="468"/>
      <c r="N61" s="468"/>
      <c r="O61" s="468"/>
      <c r="P61" s="468"/>
      <c r="Q61" s="468"/>
      <c r="R61" s="23"/>
    </row>
    <row r="62" spans="2:18" x14ac:dyDescent="0.3">
      <c r="B62" s="101">
        <v>4</v>
      </c>
      <c r="C62" s="446" t="s">
        <v>1417</v>
      </c>
      <c r="D62" s="467"/>
      <c r="E62" s="467"/>
      <c r="F62" s="467"/>
      <c r="G62" s="468"/>
      <c r="H62" s="467"/>
      <c r="I62" s="467"/>
      <c r="J62" s="468"/>
      <c r="K62" s="467"/>
      <c r="L62" s="467"/>
      <c r="M62" s="468"/>
      <c r="N62" s="468"/>
      <c r="O62" s="468"/>
      <c r="P62" s="468"/>
      <c r="Q62" s="468"/>
      <c r="R62" s="23"/>
    </row>
    <row r="63" spans="2:18" x14ac:dyDescent="0.3">
      <c r="B63" s="101">
        <f>B62+0.1</f>
        <v>4.0999999999999996</v>
      </c>
      <c r="C63" s="446" t="s">
        <v>29</v>
      </c>
      <c r="D63" s="467"/>
      <c r="E63" s="467">
        <v>0</v>
      </c>
      <c r="F63" s="467">
        <f t="shared" ref="F63:F70" si="28">E63-D63</f>
        <v>0</v>
      </c>
      <c r="G63" s="468"/>
      <c r="H63" s="467">
        <v>0</v>
      </c>
      <c r="I63" s="467">
        <f t="shared" ref="I63:I70" si="29">H63-G63</f>
        <v>0</v>
      </c>
      <c r="J63" s="468"/>
      <c r="K63" s="467"/>
      <c r="L63" s="467">
        <f t="shared" ref="L63:L70" si="30">K63-J63</f>
        <v>0</v>
      </c>
      <c r="M63" s="468"/>
      <c r="N63" s="468"/>
      <c r="O63" s="468"/>
      <c r="P63" s="468"/>
      <c r="Q63" s="468"/>
      <c r="R63" s="23"/>
    </row>
    <row r="64" spans="2:18" x14ac:dyDescent="0.3">
      <c r="B64" s="101">
        <f t="shared" ref="B64:B70" si="31">B63+0.1</f>
        <v>4.1999999999999993</v>
      </c>
      <c r="C64" s="446" t="s">
        <v>405</v>
      </c>
      <c r="D64" s="467"/>
      <c r="E64" s="467">
        <v>0</v>
      </c>
      <c r="F64" s="467">
        <f t="shared" si="28"/>
        <v>0</v>
      </c>
      <c r="G64" s="468"/>
      <c r="H64" s="467">
        <v>0</v>
      </c>
      <c r="I64" s="467">
        <f t="shared" si="29"/>
        <v>0</v>
      </c>
      <c r="J64" s="468"/>
      <c r="K64" s="467"/>
      <c r="L64" s="467">
        <f t="shared" si="30"/>
        <v>0</v>
      </c>
      <c r="M64" s="468"/>
      <c r="N64" s="468"/>
      <c r="O64" s="468"/>
      <c r="P64" s="468"/>
      <c r="Q64" s="468"/>
      <c r="R64" s="23"/>
    </row>
    <row r="65" spans="2:18" x14ac:dyDescent="0.3">
      <c r="B65" s="101">
        <f t="shared" si="31"/>
        <v>4.2999999999999989</v>
      </c>
      <c r="C65" s="446" t="s">
        <v>345</v>
      </c>
      <c r="D65" s="467"/>
      <c r="E65" s="467">
        <v>0</v>
      </c>
      <c r="F65" s="467">
        <f t="shared" si="28"/>
        <v>0</v>
      </c>
      <c r="G65" s="468"/>
      <c r="H65" s="467">
        <v>0</v>
      </c>
      <c r="I65" s="467">
        <f t="shared" si="29"/>
        <v>0</v>
      </c>
      <c r="J65" s="468"/>
      <c r="K65" s="467"/>
      <c r="L65" s="467">
        <f t="shared" si="30"/>
        <v>0</v>
      </c>
      <c r="M65" s="468"/>
      <c r="N65" s="468"/>
      <c r="O65" s="468"/>
      <c r="P65" s="468"/>
      <c r="Q65" s="468"/>
      <c r="R65" s="23"/>
    </row>
    <row r="66" spans="2:18" x14ac:dyDescent="0.3">
      <c r="B66" s="101">
        <f t="shared" si="31"/>
        <v>4.3999999999999986</v>
      </c>
      <c r="C66" s="446" t="s">
        <v>30</v>
      </c>
      <c r="D66" s="467"/>
      <c r="E66" s="467">
        <v>0</v>
      </c>
      <c r="F66" s="467">
        <f t="shared" si="28"/>
        <v>0</v>
      </c>
      <c r="G66" s="468"/>
      <c r="H66" s="467">
        <v>0</v>
      </c>
      <c r="I66" s="467">
        <f t="shared" si="29"/>
        <v>0</v>
      </c>
      <c r="J66" s="468"/>
      <c r="K66" s="467"/>
      <c r="L66" s="467">
        <f t="shared" si="30"/>
        <v>0</v>
      </c>
      <c r="M66" s="468"/>
      <c r="N66" s="468"/>
      <c r="O66" s="468"/>
      <c r="P66" s="468"/>
      <c r="Q66" s="468"/>
      <c r="R66" s="23"/>
    </row>
    <row r="67" spans="2:18" x14ac:dyDescent="0.3">
      <c r="B67" s="101">
        <f t="shared" si="31"/>
        <v>4.4999999999999982</v>
      </c>
      <c r="C67" s="446" t="s">
        <v>31</v>
      </c>
      <c r="D67" s="467"/>
      <c r="E67" s="467">
        <f>+E63-E64+E65-E66</f>
        <v>0</v>
      </c>
      <c r="F67" s="467">
        <f t="shared" si="28"/>
        <v>0</v>
      </c>
      <c r="G67" s="468"/>
      <c r="H67" s="467">
        <f>+H63-H64+H65-H66</f>
        <v>0</v>
      </c>
      <c r="I67" s="467">
        <f t="shared" si="29"/>
        <v>0</v>
      </c>
      <c r="J67" s="468"/>
      <c r="K67" s="468">
        <f>+J63-J64+J65-J66</f>
        <v>0</v>
      </c>
      <c r="L67" s="467">
        <f t="shared" si="30"/>
        <v>0</v>
      </c>
      <c r="M67" s="468"/>
      <c r="N67" s="468"/>
      <c r="O67" s="468"/>
      <c r="P67" s="468"/>
      <c r="Q67" s="468"/>
      <c r="R67" s="23"/>
    </row>
    <row r="68" spans="2:18" x14ac:dyDescent="0.3">
      <c r="B68" s="101">
        <f t="shared" si="31"/>
        <v>4.5999999999999979</v>
      </c>
      <c r="C68" s="446" t="s">
        <v>483</v>
      </c>
      <c r="D68" s="467"/>
      <c r="E68" s="395">
        <f t="shared" ref="E68" si="32">AVERAGE(E63,E67)</f>
        <v>0</v>
      </c>
      <c r="F68" s="467">
        <f t="shared" si="28"/>
        <v>0</v>
      </c>
      <c r="G68" s="468"/>
      <c r="H68" s="395">
        <f t="shared" ref="H68" si="33">AVERAGE(H63,H67)</f>
        <v>0</v>
      </c>
      <c r="I68" s="467">
        <f t="shared" si="29"/>
        <v>0</v>
      </c>
      <c r="J68" s="468"/>
      <c r="K68" s="467"/>
      <c r="L68" s="467">
        <f t="shared" si="30"/>
        <v>0</v>
      </c>
      <c r="M68" s="468"/>
      <c r="N68" s="468"/>
      <c r="O68" s="468"/>
      <c r="P68" s="468"/>
      <c r="Q68" s="468"/>
      <c r="R68" s="23"/>
    </row>
    <row r="69" spans="2:18" x14ac:dyDescent="0.3">
      <c r="B69" s="101">
        <f t="shared" si="31"/>
        <v>4.6999999999999975</v>
      </c>
      <c r="C69" s="446" t="s">
        <v>32</v>
      </c>
      <c r="D69" s="467"/>
      <c r="E69" s="467">
        <f>IFERROR(E70/E68,0)</f>
        <v>0</v>
      </c>
      <c r="F69" s="467">
        <f>IFERROR(F70/F68,0)</f>
        <v>0</v>
      </c>
      <c r="G69" s="468"/>
      <c r="H69" s="467">
        <f>IFERROR(H70/H68,0)</f>
        <v>0</v>
      </c>
      <c r="I69" s="467" t="e">
        <f>I70/I68</f>
        <v>#DIV/0!</v>
      </c>
      <c r="J69" s="468"/>
      <c r="K69" s="468" t="e">
        <f>J70/K68</f>
        <v>#DIV/0!</v>
      </c>
      <c r="L69" s="467" t="e">
        <f>L70/L68</f>
        <v>#DIV/0!</v>
      </c>
      <c r="M69" s="468"/>
      <c r="N69" s="468"/>
      <c r="O69" s="468"/>
      <c r="P69" s="468"/>
      <c r="Q69" s="468"/>
      <c r="R69" s="23"/>
    </row>
    <row r="70" spans="2:18" x14ac:dyDescent="0.3">
      <c r="B70" s="101">
        <f t="shared" si="31"/>
        <v>4.7999999999999972</v>
      </c>
      <c r="C70" s="446" t="s">
        <v>33</v>
      </c>
      <c r="D70" s="467"/>
      <c r="E70" s="467">
        <v>0</v>
      </c>
      <c r="F70" s="467">
        <f t="shared" si="28"/>
        <v>0</v>
      </c>
      <c r="G70" s="468"/>
      <c r="H70" s="467">
        <v>0</v>
      </c>
      <c r="I70" s="467">
        <f t="shared" si="29"/>
        <v>0</v>
      </c>
      <c r="J70" s="468"/>
      <c r="K70" s="467"/>
      <c r="L70" s="467">
        <f t="shared" si="30"/>
        <v>0</v>
      </c>
      <c r="M70" s="468"/>
      <c r="N70" s="468"/>
      <c r="O70" s="468"/>
      <c r="P70" s="468"/>
      <c r="Q70" s="468"/>
      <c r="R70" s="23"/>
    </row>
    <row r="71" spans="2:18" x14ac:dyDescent="0.3">
      <c r="B71" s="101"/>
      <c r="C71" s="446"/>
      <c r="D71" s="467"/>
      <c r="E71" s="467"/>
      <c r="F71" s="467"/>
      <c r="G71" s="468"/>
      <c r="H71" s="467"/>
      <c r="I71" s="467"/>
      <c r="J71" s="468"/>
      <c r="K71" s="467"/>
      <c r="L71" s="467"/>
      <c r="M71" s="468"/>
      <c r="N71" s="468"/>
      <c r="O71" s="468"/>
      <c r="P71" s="468"/>
      <c r="Q71" s="468"/>
      <c r="R71" s="23"/>
    </row>
    <row r="72" spans="2:18" x14ac:dyDescent="0.3">
      <c r="B72" s="101">
        <v>5</v>
      </c>
      <c r="C72" s="446" t="s">
        <v>1418</v>
      </c>
      <c r="D72" s="467"/>
      <c r="E72" s="467"/>
      <c r="F72" s="467"/>
      <c r="G72" s="468"/>
      <c r="H72" s="467"/>
      <c r="I72" s="467"/>
      <c r="J72" s="468"/>
      <c r="K72" s="467"/>
      <c r="L72" s="467"/>
      <c r="M72" s="468"/>
      <c r="N72" s="468"/>
      <c r="O72" s="468"/>
      <c r="P72" s="468"/>
      <c r="Q72" s="468"/>
      <c r="R72" s="23"/>
    </row>
    <row r="73" spans="2:18" x14ac:dyDescent="0.3">
      <c r="B73" s="101">
        <f>B72+0.1</f>
        <v>5.0999999999999996</v>
      </c>
      <c r="C73" s="446" t="s">
        <v>29</v>
      </c>
      <c r="D73" s="467"/>
      <c r="E73" s="467">
        <v>0</v>
      </c>
      <c r="F73" s="467">
        <f t="shared" ref="F73:F80" si="34">E73-D73</f>
        <v>0</v>
      </c>
      <c r="G73" s="468"/>
      <c r="H73" s="467">
        <v>0</v>
      </c>
      <c r="I73" s="467">
        <f t="shared" ref="I73:I80" si="35">H73-G73</f>
        <v>0</v>
      </c>
      <c r="J73" s="468"/>
      <c r="K73" s="467"/>
      <c r="L73" s="467">
        <f t="shared" ref="L73:L80" si="36">K73-J73</f>
        <v>0</v>
      </c>
      <c r="M73" s="468"/>
      <c r="N73" s="468"/>
      <c r="O73" s="468"/>
      <c r="P73" s="468"/>
      <c r="Q73" s="468"/>
      <c r="R73" s="23"/>
    </row>
    <row r="74" spans="2:18" x14ac:dyDescent="0.3">
      <c r="B74" s="101">
        <f t="shared" ref="B74:B80" si="37">B73+0.1</f>
        <v>5.1999999999999993</v>
      </c>
      <c r="C74" s="446" t="s">
        <v>405</v>
      </c>
      <c r="D74" s="467"/>
      <c r="E74" s="467">
        <v>0</v>
      </c>
      <c r="F74" s="467">
        <f t="shared" si="34"/>
        <v>0</v>
      </c>
      <c r="G74" s="468"/>
      <c r="H74" s="467">
        <v>0</v>
      </c>
      <c r="I74" s="467">
        <f t="shared" si="35"/>
        <v>0</v>
      </c>
      <c r="J74" s="468"/>
      <c r="K74" s="467"/>
      <c r="L74" s="467">
        <f t="shared" si="36"/>
        <v>0</v>
      </c>
      <c r="M74" s="468"/>
      <c r="N74" s="468"/>
      <c r="O74" s="468"/>
      <c r="P74" s="468"/>
      <c r="Q74" s="468"/>
      <c r="R74" s="23"/>
    </row>
    <row r="75" spans="2:18" x14ac:dyDescent="0.3">
      <c r="B75" s="101">
        <f t="shared" si="37"/>
        <v>5.2999999999999989</v>
      </c>
      <c r="C75" s="446" t="s">
        <v>345</v>
      </c>
      <c r="D75" s="467"/>
      <c r="E75" s="467">
        <v>0</v>
      </c>
      <c r="F75" s="467">
        <f t="shared" si="34"/>
        <v>0</v>
      </c>
      <c r="G75" s="468"/>
      <c r="H75" s="467">
        <v>0</v>
      </c>
      <c r="I75" s="467">
        <f t="shared" si="35"/>
        <v>0</v>
      </c>
      <c r="J75" s="468"/>
      <c r="K75" s="467"/>
      <c r="L75" s="467">
        <f t="shared" si="36"/>
        <v>0</v>
      </c>
      <c r="M75" s="468"/>
      <c r="N75" s="468"/>
      <c r="O75" s="468"/>
      <c r="P75" s="468"/>
      <c r="Q75" s="468"/>
      <c r="R75" s="23"/>
    </row>
    <row r="76" spans="2:18" x14ac:dyDescent="0.3">
      <c r="B76" s="101">
        <f t="shared" si="37"/>
        <v>5.3999999999999986</v>
      </c>
      <c r="C76" s="446" t="s">
        <v>30</v>
      </c>
      <c r="D76" s="467"/>
      <c r="E76" s="467">
        <v>0</v>
      </c>
      <c r="F76" s="467">
        <f t="shared" si="34"/>
        <v>0</v>
      </c>
      <c r="G76" s="468"/>
      <c r="H76" s="467">
        <v>0</v>
      </c>
      <c r="I76" s="467">
        <f t="shared" si="35"/>
        <v>0</v>
      </c>
      <c r="J76" s="468"/>
      <c r="K76" s="467"/>
      <c r="L76" s="467">
        <f t="shared" si="36"/>
        <v>0</v>
      </c>
      <c r="M76" s="468"/>
      <c r="N76" s="468"/>
      <c r="O76" s="468"/>
      <c r="P76" s="468"/>
      <c r="Q76" s="468"/>
      <c r="R76" s="23"/>
    </row>
    <row r="77" spans="2:18" x14ac:dyDescent="0.3">
      <c r="B77" s="101">
        <f t="shared" si="37"/>
        <v>5.4999999999999982</v>
      </c>
      <c r="C77" s="446" t="s">
        <v>31</v>
      </c>
      <c r="D77" s="467"/>
      <c r="E77" s="467">
        <f>+E73-E74+E75-E76</f>
        <v>0</v>
      </c>
      <c r="F77" s="467">
        <f t="shared" si="34"/>
        <v>0</v>
      </c>
      <c r="G77" s="468"/>
      <c r="H77" s="467">
        <f>+H73-H74+H75-H76</f>
        <v>0</v>
      </c>
      <c r="I77" s="467">
        <f t="shared" si="35"/>
        <v>0</v>
      </c>
      <c r="J77" s="468"/>
      <c r="K77" s="468">
        <f>+J73-J74+J75-J76</f>
        <v>0</v>
      </c>
      <c r="L77" s="467">
        <f t="shared" si="36"/>
        <v>0</v>
      </c>
      <c r="M77" s="468"/>
      <c r="N77" s="468"/>
      <c r="O77" s="468"/>
      <c r="P77" s="468"/>
      <c r="Q77" s="468"/>
      <c r="R77" s="23"/>
    </row>
    <row r="78" spans="2:18" x14ac:dyDescent="0.3">
      <c r="B78" s="101">
        <f t="shared" si="37"/>
        <v>5.5999999999999979</v>
      </c>
      <c r="C78" s="446" t="s">
        <v>483</v>
      </c>
      <c r="D78" s="467"/>
      <c r="E78" s="395">
        <f t="shared" ref="E78" si="38">AVERAGE(E73,E77)</f>
        <v>0</v>
      </c>
      <c r="F78" s="467">
        <f t="shared" si="34"/>
        <v>0</v>
      </c>
      <c r="G78" s="468"/>
      <c r="H78" s="395">
        <f t="shared" ref="H78" si="39">AVERAGE(H73,H77)</f>
        <v>0</v>
      </c>
      <c r="I78" s="467">
        <f t="shared" si="35"/>
        <v>0</v>
      </c>
      <c r="J78" s="468"/>
      <c r="K78" s="467"/>
      <c r="L78" s="467">
        <f t="shared" si="36"/>
        <v>0</v>
      </c>
      <c r="M78" s="468"/>
      <c r="N78" s="468"/>
      <c r="O78" s="468"/>
      <c r="P78" s="468"/>
      <c r="Q78" s="468"/>
      <c r="R78" s="23"/>
    </row>
    <row r="79" spans="2:18" x14ac:dyDescent="0.3">
      <c r="B79" s="101">
        <f t="shared" si="37"/>
        <v>5.6999999999999975</v>
      </c>
      <c r="C79" s="446" t="s">
        <v>32</v>
      </c>
      <c r="D79" s="467"/>
      <c r="E79" s="467">
        <f>IFERROR(E80/E78,0)</f>
        <v>0</v>
      </c>
      <c r="F79" s="467">
        <f>IFERROR(F80/F78,0)</f>
        <v>0</v>
      </c>
      <c r="G79" s="468"/>
      <c r="H79" s="467">
        <f>IFERROR(H80/H78,0)</f>
        <v>0</v>
      </c>
      <c r="I79" s="467" t="e">
        <f>I80/I78</f>
        <v>#DIV/0!</v>
      </c>
      <c r="J79" s="468"/>
      <c r="K79" s="468" t="e">
        <f>J80/K78</f>
        <v>#DIV/0!</v>
      </c>
      <c r="L79" s="467" t="e">
        <f>L80/L78</f>
        <v>#DIV/0!</v>
      </c>
      <c r="M79" s="468"/>
      <c r="N79" s="468"/>
      <c r="O79" s="468"/>
      <c r="P79" s="468"/>
      <c r="Q79" s="468"/>
      <c r="R79" s="23"/>
    </row>
    <row r="80" spans="2:18" x14ac:dyDescent="0.3">
      <c r="B80" s="101">
        <f t="shared" si="37"/>
        <v>5.7999999999999972</v>
      </c>
      <c r="C80" s="446" t="s">
        <v>33</v>
      </c>
      <c r="D80" s="467"/>
      <c r="E80" s="467">
        <v>0</v>
      </c>
      <c r="F80" s="467">
        <f t="shared" si="34"/>
        <v>0</v>
      </c>
      <c r="G80" s="468"/>
      <c r="H80" s="467">
        <v>0</v>
      </c>
      <c r="I80" s="467">
        <f t="shared" si="35"/>
        <v>0</v>
      </c>
      <c r="J80" s="468"/>
      <c r="K80" s="467"/>
      <c r="L80" s="467">
        <f t="shared" si="36"/>
        <v>0</v>
      </c>
      <c r="M80" s="468"/>
      <c r="N80" s="468"/>
      <c r="O80" s="468"/>
      <c r="P80" s="468"/>
      <c r="Q80" s="468"/>
      <c r="R80" s="23"/>
    </row>
    <row r="81" spans="2:18" x14ac:dyDescent="0.3">
      <c r="B81" s="101"/>
      <c r="C81" s="446"/>
      <c r="D81" s="467"/>
      <c r="E81" s="467"/>
      <c r="F81" s="467"/>
      <c r="G81" s="468"/>
      <c r="H81" s="467"/>
      <c r="I81" s="467"/>
      <c r="J81" s="468"/>
      <c r="K81" s="467"/>
      <c r="L81" s="467"/>
      <c r="M81" s="468"/>
      <c r="N81" s="468"/>
      <c r="O81" s="468"/>
      <c r="P81" s="468"/>
      <c r="Q81" s="468"/>
      <c r="R81" s="23"/>
    </row>
    <row r="82" spans="2:18" x14ac:dyDescent="0.3">
      <c r="B82" s="101">
        <v>6</v>
      </c>
      <c r="C82" s="446" t="s">
        <v>1419</v>
      </c>
      <c r="D82" s="467"/>
      <c r="E82" s="467"/>
      <c r="F82" s="467"/>
      <c r="G82" s="468"/>
      <c r="H82" s="467"/>
      <c r="I82" s="467"/>
      <c r="J82" s="468"/>
      <c r="K82" s="467"/>
      <c r="L82" s="467"/>
      <c r="M82" s="468"/>
      <c r="N82" s="468"/>
      <c r="O82" s="468"/>
      <c r="P82" s="468"/>
      <c r="Q82" s="468"/>
      <c r="R82" s="23"/>
    </row>
    <row r="83" spans="2:18" x14ac:dyDescent="0.3">
      <c r="B83" s="101">
        <f>B82+0.1</f>
        <v>6.1</v>
      </c>
      <c r="C83" s="446" t="s">
        <v>29</v>
      </c>
      <c r="D83" s="467"/>
      <c r="E83" s="467">
        <v>0</v>
      </c>
      <c r="F83" s="467">
        <f t="shared" ref="F83:F90" si="40">E83-D83</f>
        <v>0</v>
      </c>
      <c r="G83" s="468"/>
      <c r="H83" s="467">
        <v>0</v>
      </c>
      <c r="I83" s="467">
        <f t="shared" ref="I83:I90" si="41">H83-G83</f>
        <v>0</v>
      </c>
      <c r="J83" s="468"/>
      <c r="K83" s="467"/>
      <c r="L83" s="467">
        <f t="shared" ref="L83:L90" si="42">K83-J83</f>
        <v>0</v>
      </c>
      <c r="M83" s="468"/>
      <c r="N83" s="468"/>
      <c r="O83" s="468"/>
      <c r="P83" s="468"/>
      <c r="Q83" s="468"/>
      <c r="R83" s="23"/>
    </row>
    <row r="84" spans="2:18" x14ac:dyDescent="0.3">
      <c r="B84" s="101">
        <f t="shared" ref="B84:B90" si="43">B83+0.1</f>
        <v>6.1999999999999993</v>
      </c>
      <c r="C84" s="446" t="s">
        <v>405</v>
      </c>
      <c r="D84" s="467"/>
      <c r="E84" s="467">
        <v>0</v>
      </c>
      <c r="F84" s="467">
        <f t="shared" si="40"/>
        <v>0</v>
      </c>
      <c r="G84" s="468"/>
      <c r="H84" s="467">
        <v>0</v>
      </c>
      <c r="I84" s="467">
        <f t="shared" si="41"/>
        <v>0</v>
      </c>
      <c r="J84" s="468"/>
      <c r="K84" s="467"/>
      <c r="L84" s="467">
        <f t="shared" si="42"/>
        <v>0</v>
      </c>
      <c r="M84" s="468"/>
      <c r="N84" s="468"/>
      <c r="O84" s="468"/>
      <c r="P84" s="468"/>
      <c r="Q84" s="468"/>
      <c r="R84" s="23"/>
    </row>
    <row r="85" spans="2:18" x14ac:dyDescent="0.3">
      <c r="B85" s="101">
        <f t="shared" si="43"/>
        <v>6.2999999999999989</v>
      </c>
      <c r="C85" s="446" t="s">
        <v>345</v>
      </c>
      <c r="D85" s="467"/>
      <c r="E85" s="467">
        <v>0</v>
      </c>
      <c r="F85" s="467">
        <f t="shared" si="40"/>
        <v>0</v>
      </c>
      <c r="G85" s="468"/>
      <c r="H85" s="467">
        <v>0</v>
      </c>
      <c r="I85" s="467">
        <f t="shared" si="41"/>
        <v>0</v>
      </c>
      <c r="J85" s="468"/>
      <c r="K85" s="467"/>
      <c r="L85" s="467">
        <f t="shared" si="42"/>
        <v>0</v>
      </c>
      <c r="M85" s="468"/>
      <c r="N85" s="468"/>
      <c r="O85" s="468"/>
      <c r="P85" s="468"/>
      <c r="Q85" s="468"/>
      <c r="R85" s="23"/>
    </row>
    <row r="86" spans="2:18" x14ac:dyDescent="0.3">
      <c r="B86" s="101">
        <f t="shared" si="43"/>
        <v>6.3999999999999986</v>
      </c>
      <c r="C86" s="446" t="s">
        <v>30</v>
      </c>
      <c r="D86" s="467"/>
      <c r="E86" s="467">
        <v>0</v>
      </c>
      <c r="F86" s="467">
        <f t="shared" si="40"/>
        <v>0</v>
      </c>
      <c r="G86" s="468"/>
      <c r="H86" s="467">
        <v>0</v>
      </c>
      <c r="I86" s="467">
        <f t="shared" si="41"/>
        <v>0</v>
      </c>
      <c r="J86" s="468"/>
      <c r="K86" s="467"/>
      <c r="L86" s="467">
        <f t="shared" si="42"/>
        <v>0</v>
      </c>
      <c r="M86" s="468"/>
      <c r="N86" s="468"/>
      <c r="O86" s="468"/>
      <c r="P86" s="468"/>
      <c r="Q86" s="468"/>
      <c r="R86" s="23"/>
    </row>
    <row r="87" spans="2:18" x14ac:dyDescent="0.3">
      <c r="B87" s="101">
        <f t="shared" si="43"/>
        <v>6.4999999999999982</v>
      </c>
      <c r="C87" s="446" t="s">
        <v>31</v>
      </c>
      <c r="D87" s="467"/>
      <c r="E87" s="467">
        <f>+E83-E84+E85-E86</f>
        <v>0</v>
      </c>
      <c r="F87" s="467">
        <f t="shared" si="40"/>
        <v>0</v>
      </c>
      <c r="G87" s="468"/>
      <c r="H87" s="467">
        <f>+H83-H84+H85-H86</f>
        <v>0</v>
      </c>
      <c r="I87" s="467">
        <f t="shared" si="41"/>
        <v>0</v>
      </c>
      <c r="J87" s="468"/>
      <c r="K87" s="468">
        <f>+J83-J84+J85-J86</f>
        <v>0</v>
      </c>
      <c r="L87" s="467">
        <f t="shared" si="42"/>
        <v>0</v>
      </c>
      <c r="M87" s="468"/>
      <c r="N87" s="468"/>
      <c r="O87" s="468"/>
      <c r="P87" s="468"/>
      <c r="Q87" s="468"/>
      <c r="R87" s="23"/>
    </row>
    <row r="88" spans="2:18" x14ac:dyDescent="0.3">
      <c r="B88" s="101">
        <f t="shared" si="43"/>
        <v>6.5999999999999979</v>
      </c>
      <c r="C88" s="446" t="s">
        <v>483</v>
      </c>
      <c r="D88" s="467"/>
      <c r="E88" s="395">
        <f t="shared" ref="E88" si="44">AVERAGE(E83,E87)</f>
        <v>0</v>
      </c>
      <c r="F88" s="467">
        <f t="shared" si="40"/>
        <v>0</v>
      </c>
      <c r="G88" s="468"/>
      <c r="H88" s="395">
        <f t="shared" ref="H88" si="45">AVERAGE(H83,H87)</f>
        <v>0</v>
      </c>
      <c r="I88" s="467">
        <f t="shared" si="41"/>
        <v>0</v>
      </c>
      <c r="J88" s="468"/>
      <c r="K88" s="467"/>
      <c r="L88" s="467">
        <f t="shared" si="42"/>
        <v>0</v>
      </c>
      <c r="M88" s="468"/>
      <c r="N88" s="468"/>
      <c r="O88" s="468"/>
      <c r="P88" s="468"/>
      <c r="Q88" s="468"/>
      <c r="R88" s="23"/>
    </row>
    <row r="89" spans="2:18" x14ac:dyDescent="0.3">
      <c r="B89" s="101">
        <f t="shared" si="43"/>
        <v>6.6999999999999975</v>
      </c>
      <c r="C89" s="446" t="s">
        <v>32</v>
      </c>
      <c r="D89" s="467"/>
      <c r="E89" s="467">
        <f>IFERROR(E90/E88,0)</f>
        <v>0</v>
      </c>
      <c r="F89" s="467">
        <f>IFERROR(F90/F88,0)</f>
        <v>0</v>
      </c>
      <c r="G89" s="468"/>
      <c r="H89" s="467">
        <f>IFERROR(H90/H88,0)</f>
        <v>0</v>
      </c>
      <c r="I89" s="467" t="e">
        <f>I90/I88</f>
        <v>#DIV/0!</v>
      </c>
      <c r="J89" s="468"/>
      <c r="K89" s="468" t="e">
        <f>J90/K88</f>
        <v>#DIV/0!</v>
      </c>
      <c r="L89" s="467" t="e">
        <f>L90/L88</f>
        <v>#DIV/0!</v>
      </c>
      <c r="M89" s="468"/>
      <c r="N89" s="468"/>
      <c r="O89" s="468"/>
      <c r="P89" s="468"/>
      <c r="Q89" s="468"/>
      <c r="R89" s="23"/>
    </row>
    <row r="90" spans="2:18" x14ac:dyDescent="0.3">
      <c r="B90" s="101">
        <f t="shared" si="43"/>
        <v>6.7999999999999972</v>
      </c>
      <c r="C90" s="446" t="s">
        <v>33</v>
      </c>
      <c r="D90" s="467"/>
      <c r="E90" s="467">
        <v>0</v>
      </c>
      <c r="F90" s="467">
        <f t="shared" si="40"/>
        <v>0</v>
      </c>
      <c r="G90" s="468"/>
      <c r="H90" s="467">
        <v>0</v>
      </c>
      <c r="I90" s="467">
        <f t="shared" si="41"/>
        <v>0</v>
      </c>
      <c r="J90" s="468"/>
      <c r="K90" s="467"/>
      <c r="L90" s="467">
        <f t="shared" si="42"/>
        <v>0</v>
      </c>
      <c r="M90" s="468"/>
      <c r="N90" s="468"/>
      <c r="O90" s="468"/>
      <c r="P90" s="468"/>
      <c r="Q90" s="468"/>
      <c r="R90" s="23"/>
    </row>
    <row r="91" spans="2:18" x14ac:dyDescent="0.3">
      <c r="B91" s="101"/>
      <c r="C91" s="446"/>
      <c r="D91" s="467"/>
      <c r="E91" s="467"/>
      <c r="F91" s="467"/>
      <c r="G91" s="468"/>
      <c r="H91" s="467"/>
      <c r="I91" s="467"/>
      <c r="J91" s="468"/>
      <c r="K91" s="467"/>
      <c r="L91" s="467"/>
      <c r="M91" s="468"/>
      <c r="N91" s="468"/>
      <c r="O91" s="468"/>
      <c r="P91" s="468"/>
      <c r="Q91" s="468"/>
      <c r="R91" s="23"/>
    </row>
    <row r="92" spans="2:18" x14ac:dyDescent="0.3">
      <c r="B92" s="101">
        <v>7</v>
      </c>
      <c r="C92" s="446" t="s">
        <v>1420</v>
      </c>
      <c r="D92" s="467"/>
      <c r="E92" s="467"/>
      <c r="F92" s="467"/>
      <c r="G92" s="468"/>
      <c r="H92" s="467"/>
      <c r="I92" s="467"/>
      <c r="J92" s="468"/>
      <c r="K92" s="467"/>
      <c r="L92" s="467"/>
      <c r="M92" s="468"/>
      <c r="N92" s="468"/>
      <c r="O92" s="468"/>
      <c r="P92" s="468"/>
      <c r="Q92" s="468"/>
      <c r="R92" s="23"/>
    </row>
    <row r="93" spans="2:18" x14ac:dyDescent="0.3">
      <c r="B93" s="101">
        <f>B92+0.1</f>
        <v>7.1</v>
      </c>
      <c r="C93" s="446" t="s">
        <v>29</v>
      </c>
      <c r="D93" s="467"/>
      <c r="E93" s="467">
        <v>0</v>
      </c>
      <c r="F93" s="467">
        <f t="shared" ref="F93:F100" si="46">E93-D93</f>
        <v>0</v>
      </c>
      <c r="G93" s="468"/>
      <c r="H93" s="467">
        <v>0</v>
      </c>
      <c r="I93" s="467">
        <f t="shared" ref="I93:I100" si="47">H93-G93</f>
        <v>0</v>
      </c>
      <c r="J93" s="468"/>
      <c r="K93" s="467"/>
      <c r="L93" s="467">
        <f t="shared" ref="L93:L100" si="48">K93-J93</f>
        <v>0</v>
      </c>
      <c r="M93" s="468"/>
      <c r="N93" s="468"/>
      <c r="O93" s="468"/>
      <c r="P93" s="468"/>
      <c r="Q93" s="468"/>
      <c r="R93" s="23"/>
    </row>
    <row r="94" spans="2:18" x14ac:dyDescent="0.3">
      <c r="B94" s="101">
        <f t="shared" ref="B94:B100" si="49">B93+0.1</f>
        <v>7.1999999999999993</v>
      </c>
      <c r="C94" s="446" t="s">
        <v>405</v>
      </c>
      <c r="D94" s="467"/>
      <c r="E94" s="467">
        <v>0</v>
      </c>
      <c r="F94" s="467">
        <f t="shared" si="46"/>
        <v>0</v>
      </c>
      <c r="G94" s="468"/>
      <c r="H94" s="467">
        <v>0</v>
      </c>
      <c r="I94" s="467">
        <f t="shared" si="47"/>
        <v>0</v>
      </c>
      <c r="J94" s="468"/>
      <c r="K94" s="467"/>
      <c r="L94" s="467">
        <f t="shared" si="48"/>
        <v>0</v>
      </c>
      <c r="M94" s="468"/>
      <c r="N94" s="468"/>
      <c r="O94" s="468"/>
      <c r="P94" s="468"/>
      <c r="Q94" s="468"/>
      <c r="R94" s="23"/>
    </row>
    <row r="95" spans="2:18" x14ac:dyDescent="0.3">
      <c r="B95" s="101">
        <f t="shared" si="49"/>
        <v>7.2999999999999989</v>
      </c>
      <c r="C95" s="446" t="s">
        <v>345</v>
      </c>
      <c r="D95" s="467"/>
      <c r="E95" s="467">
        <v>0</v>
      </c>
      <c r="F95" s="467">
        <f t="shared" si="46"/>
        <v>0</v>
      </c>
      <c r="G95" s="468"/>
      <c r="H95" s="467">
        <v>0</v>
      </c>
      <c r="I95" s="467">
        <f t="shared" si="47"/>
        <v>0</v>
      </c>
      <c r="J95" s="468"/>
      <c r="K95" s="467"/>
      <c r="L95" s="467">
        <f t="shared" si="48"/>
        <v>0</v>
      </c>
      <c r="M95" s="468"/>
      <c r="N95" s="468"/>
      <c r="O95" s="468"/>
      <c r="P95" s="468"/>
      <c r="Q95" s="468"/>
      <c r="R95" s="23"/>
    </row>
    <row r="96" spans="2:18" x14ac:dyDescent="0.3">
      <c r="B96" s="101">
        <f t="shared" si="49"/>
        <v>7.3999999999999986</v>
      </c>
      <c r="C96" s="446" t="s">
        <v>30</v>
      </c>
      <c r="D96" s="467"/>
      <c r="E96" s="467">
        <v>0</v>
      </c>
      <c r="F96" s="467">
        <f t="shared" si="46"/>
        <v>0</v>
      </c>
      <c r="G96" s="468"/>
      <c r="H96" s="467">
        <v>0</v>
      </c>
      <c r="I96" s="467">
        <f t="shared" si="47"/>
        <v>0</v>
      </c>
      <c r="J96" s="468"/>
      <c r="K96" s="467"/>
      <c r="L96" s="467">
        <f t="shared" si="48"/>
        <v>0</v>
      </c>
      <c r="M96" s="468"/>
      <c r="N96" s="468"/>
      <c r="O96" s="468"/>
      <c r="P96" s="468"/>
      <c r="Q96" s="468"/>
      <c r="R96" s="23"/>
    </row>
    <row r="97" spans="2:18" x14ac:dyDescent="0.3">
      <c r="B97" s="101">
        <f t="shared" si="49"/>
        <v>7.4999999999999982</v>
      </c>
      <c r="C97" s="446" t="s">
        <v>31</v>
      </c>
      <c r="D97" s="467"/>
      <c r="E97" s="467">
        <f>+E93-E94+E95-E96</f>
        <v>0</v>
      </c>
      <c r="F97" s="467">
        <f t="shared" si="46"/>
        <v>0</v>
      </c>
      <c r="G97" s="468"/>
      <c r="H97" s="467">
        <f>+H93-H94+H95-H96</f>
        <v>0</v>
      </c>
      <c r="I97" s="467">
        <f t="shared" si="47"/>
        <v>0</v>
      </c>
      <c r="J97" s="468"/>
      <c r="K97" s="467">
        <f>+K93-K94+K95-K96</f>
        <v>0</v>
      </c>
      <c r="L97" s="467">
        <f t="shared" si="48"/>
        <v>0</v>
      </c>
      <c r="M97" s="468"/>
      <c r="N97" s="468"/>
      <c r="O97" s="468"/>
      <c r="P97" s="468"/>
      <c r="Q97" s="468"/>
      <c r="R97" s="23"/>
    </row>
    <row r="98" spans="2:18" x14ac:dyDescent="0.3">
      <c r="B98" s="101">
        <f t="shared" si="49"/>
        <v>7.5999999999999979</v>
      </c>
      <c r="C98" s="446" t="s">
        <v>483</v>
      </c>
      <c r="D98" s="467"/>
      <c r="E98" s="395">
        <f t="shared" ref="E98" si="50">AVERAGE(E93,E97)</f>
        <v>0</v>
      </c>
      <c r="F98" s="467">
        <f t="shared" si="46"/>
        <v>0</v>
      </c>
      <c r="G98" s="468"/>
      <c r="H98" s="395">
        <f t="shared" ref="H98" si="51">AVERAGE(H93,H97)</f>
        <v>0</v>
      </c>
      <c r="I98" s="467">
        <f t="shared" si="47"/>
        <v>0</v>
      </c>
      <c r="J98" s="468"/>
      <c r="K98" s="467"/>
      <c r="L98" s="467">
        <f t="shared" si="48"/>
        <v>0</v>
      </c>
      <c r="M98" s="468"/>
      <c r="N98" s="468"/>
      <c r="O98" s="468"/>
      <c r="P98" s="468"/>
      <c r="Q98" s="468"/>
      <c r="R98" s="23"/>
    </row>
    <row r="99" spans="2:18" x14ac:dyDescent="0.3">
      <c r="B99" s="101">
        <f t="shared" si="49"/>
        <v>7.6999999999999975</v>
      </c>
      <c r="C99" s="446" t="s">
        <v>32</v>
      </c>
      <c r="D99" s="467"/>
      <c r="E99" s="467">
        <f>IFERROR(E100/E98,0)</f>
        <v>0</v>
      </c>
      <c r="F99" s="467">
        <f>IFERROR(F100/F98,0)</f>
        <v>0</v>
      </c>
      <c r="G99" s="468"/>
      <c r="H99" s="467">
        <f>IFERROR(H100/H98,0)</f>
        <v>0</v>
      </c>
      <c r="I99" s="467" t="e">
        <f>I100/I98</f>
        <v>#DIV/0!</v>
      </c>
      <c r="J99" s="468"/>
      <c r="K99" s="468" t="e">
        <f>J100/K98</f>
        <v>#DIV/0!</v>
      </c>
      <c r="L99" s="467" t="e">
        <f>L100/L98</f>
        <v>#DIV/0!</v>
      </c>
      <c r="M99" s="468"/>
      <c r="N99" s="468"/>
      <c r="O99" s="468"/>
      <c r="P99" s="468"/>
      <c r="Q99" s="468"/>
      <c r="R99" s="23"/>
    </row>
    <row r="100" spans="2:18" x14ac:dyDescent="0.3">
      <c r="B100" s="101">
        <f t="shared" si="49"/>
        <v>7.7999999999999972</v>
      </c>
      <c r="C100" s="446" t="s">
        <v>33</v>
      </c>
      <c r="D100" s="467"/>
      <c r="E100" s="467">
        <v>0</v>
      </c>
      <c r="F100" s="467">
        <f t="shared" si="46"/>
        <v>0</v>
      </c>
      <c r="G100" s="468"/>
      <c r="H100" s="467">
        <v>0</v>
      </c>
      <c r="I100" s="467">
        <f t="shared" si="47"/>
        <v>0</v>
      </c>
      <c r="J100" s="468"/>
      <c r="K100" s="467"/>
      <c r="L100" s="467">
        <f t="shared" si="48"/>
        <v>0</v>
      </c>
      <c r="M100" s="468"/>
      <c r="N100" s="468"/>
      <c r="O100" s="468"/>
      <c r="P100" s="468"/>
      <c r="Q100" s="468"/>
      <c r="R100" s="23"/>
    </row>
    <row r="101" spans="2:18" x14ac:dyDescent="0.3">
      <c r="B101" s="101"/>
      <c r="C101" s="446"/>
      <c r="D101" s="467"/>
      <c r="E101" s="467"/>
      <c r="F101" s="467"/>
      <c r="G101" s="468"/>
      <c r="H101" s="467"/>
      <c r="I101" s="467"/>
      <c r="J101" s="468"/>
      <c r="K101" s="467"/>
      <c r="L101" s="467"/>
      <c r="M101" s="468"/>
      <c r="N101" s="468"/>
      <c r="O101" s="468"/>
      <c r="P101" s="468"/>
      <c r="Q101" s="468"/>
      <c r="R101" s="23"/>
    </row>
    <row r="102" spans="2:18" x14ac:dyDescent="0.3">
      <c r="B102" s="101">
        <v>8</v>
      </c>
      <c r="C102" s="446" t="s">
        <v>1421</v>
      </c>
      <c r="D102" s="467"/>
      <c r="E102" s="467"/>
      <c r="F102" s="467"/>
      <c r="G102" s="468"/>
      <c r="H102" s="467"/>
      <c r="I102" s="467"/>
      <c r="J102" s="468"/>
      <c r="K102" s="467"/>
      <c r="L102" s="467"/>
      <c r="M102" s="468"/>
      <c r="N102" s="468"/>
      <c r="O102" s="468"/>
      <c r="P102" s="468"/>
      <c r="Q102" s="468"/>
      <c r="R102" s="23"/>
    </row>
    <row r="103" spans="2:18" x14ac:dyDescent="0.3">
      <c r="B103" s="101">
        <f>B102+0.1</f>
        <v>8.1</v>
      </c>
      <c r="C103" s="446" t="s">
        <v>29</v>
      </c>
      <c r="D103" s="467"/>
      <c r="E103" s="467">
        <v>0</v>
      </c>
      <c r="F103" s="467">
        <f t="shared" ref="F103:F110" si="52">E103-D103</f>
        <v>0</v>
      </c>
      <c r="G103" s="468"/>
      <c r="H103" s="467">
        <v>0</v>
      </c>
      <c r="I103" s="467">
        <f t="shared" ref="I103:I110" si="53">H103-G103</f>
        <v>0</v>
      </c>
      <c r="J103" s="468"/>
      <c r="K103" s="467"/>
      <c r="L103" s="467">
        <f t="shared" ref="L103:L110" si="54">K103-J103</f>
        <v>0</v>
      </c>
      <c r="M103" s="468"/>
      <c r="N103" s="468"/>
      <c r="O103" s="468"/>
      <c r="P103" s="468"/>
      <c r="Q103" s="468"/>
      <c r="R103" s="23"/>
    </row>
    <row r="104" spans="2:18" x14ac:dyDescent="0.3">
      <c r="B104" s="101">
        <f t="shared" ref="B104:B110" si="55">B103+0.1</f>
        <v>8.1999999999999993</v>
      </c>
      <c r="C104" s="446" t="s">
        <v>405</v>
      </c>
      <c r="D104" s="467"/>
      <c r="E104" s="467">
        <v>0</v>
      </c>
      <c r="F104" s="467">
        <f t="shared" si="52"/>
        <v>0</v>
      </c>
      <c r="G104" s="468"/>
      <c r="H104" s="467">
        <v>0</v>
      </c>
      <c r="I104" s="467">
        <f t="shared" si="53"/>
        <v>0</v>
      </c>
      <c r="J104" s="468"/>
      <c r="K104" s="467"/>
      <c r="L104" s="467">
        <f t="shared" si="54"/>
        <v>0</v>
      </c>
      <c r="M104" s="468"/>
      <c r="N104" s="468"/>
      <c r="O104" s="468"/>
      <c r="P104" s="468"/>
      <c r="Q104" s="468"/>
      <c r="R104" s="23"/>
    </row>
    <row r="105" spans="2:18" x14ac:dyDescent="0.3">
      <c r="B105" s="101">
        <f t="shared" si="55"/>
        <v>8.2999999999999989</v>
      </c>
      <c r="C105" s="446" t="s">
        <v>345</v>
      </c>
      <c r="D105" s="467"/>
      <c r="E105" s="467">
        <v>0</v>
      </c>
      <c r="F105" s="467">
        <f t="shared" si="52"/>
        <v>0</v>
      </c>
      <c r="G105" s="468"/>
      <c r="H105" s="467">
        <v>0</v>
      </c>
      <c r="I105" s="467">
        <f t="shared" si="53"/>
        <v>0</v>
      </c>
      <c r="J105" s="468"/>
      <c r="K105" s="467"/>
      <c r="L105" s="467">
        <f t="shared" si="54"/>
        <v>0</v>
      </c>
      <c r="M105" s="468"/>
      <c r="N105" s="468"/>
      <c r="O105" s="468"/>
      <c r="P105" s="468"/>
      <c r="Q105" s="468"/>
      <c r="R105" s="23"/>
    </row>
    <row r="106" spans="2:18" x14ac:dyDescent="0.3">
      <c r="B106" s="101">
        <f t="shared" si="55"/>
        <v>8.3999999999999986</v>
      </c>
      <c r="C106" s="446" t="s">
        <v>30</v>
      </c>
      <c r="D106" s="467"/>
      <c r="E106" s="467">
        <v>0</v>
      </c>
      <c r="F106" s="467">
        <f t="shared" si="52"/>
        <v>0</v>
      </c>
      <c r="G106" s="468"/>
      <c r="H106" s="467">
        <v>0</v>
      </c>
      <c r="I106" s="467">
        <f t="shared" si="53"/>
        <v>0</v>
      </c>
      <c r="J106" s="468"/>
      <c r="K106" s="467"/>
      <c r="L106" s="467">
        <f t="shared" si="54"/>
        <v>0</v>
      </c>
      <c r="M106" s="468"/>
      <c r="N106" s="468"/>
      <c r="O106" s="468"/>
      <c r="P106" s="468"/>
      <c r="Q106" s="468"/>
      <c r="R106" s="23"/>
    </row>
    <row r="107" spans="2:18" x14ac:dyDescent="0.3">
      <c r="B107" s="101">
        <f t="shared" si="55"/>
        <v>8.4999999999999982</v>
      </c>
      <c r="C107" s="446" t="s">
        <v>31</v>
      </c>
      <c r="D107" s="467"/>
      <c r="E107" s="467">
        <f>+E103-E104+E105-E106</f>
        <v>0</v>
      </c>
      <c r="F107" s="467">
        <f t="shared" si="52"/>
        <v>0</v>
      </c>
      <c r="G107" s="468"/>
      <c r="H107" s="467">
        <f>+H103-H104+H105-H106</f>
        <v>0</v>
      </c>
      <c r="I107" s="467">
        <f t="shared" si="53"/>
        <v>0</v>
      </c>
      <c r="J107" s="468"/>
      <c r="K107" s="468">
        <f>+J103-J104+J105-J106</f>
        <v>0</v>
      </c>
      <c r="L107" s="467">
        <f t="shared" si="54"/>
        <v>0</v>
      </c>
      <c r="M107" s="468"/>
      <c r="N107" s="468"/>
      <c r="O107" s="468"/>
      <c r="P107" s="468"/>
      <c r="Q107" s="468"/>
      <c r="R107" s="23"/>
    </row>
    <row r="108" spans="2:18" x14ac:dyDescent="0.3">
      <c r="B108" s="101">
        <f t="shared" si="55"/>
        <v>8.5999999999999979</v>
      </c>
      <c r="C108" s="446" t="s">
        <v>483</v>
      </c>
      <c r="D108" s="467"/>
      <c r="E108" s="395">
        <f t="shared" ref="E108" si="56">AVERAGE(E103,E107)</f>
        <v>0</v>
      </c>
      <c r="F108" s="467">
        <f t="shared" si="52"/>
        <v>0</v>
      </c>
      <c r="G108" s="468"/>
      <c r="H108" s="395">
        <f t="shared" ref="H108" si="57">AVERAGE(H103,H107)</f>
        <v>0</v>
      </c>
      <c r="I108" s="467">
        <f t="shared" si="53"/>
        <v>0</v>
      </c>
      <c r="J108" s="468"/>
      <c r="K108" s="467"/>
      <c r="L108" s="467">
        <f t="shared" si="54"/>
        <v>0</v>
      </c>
      <c r="M108" s="468"/>
      <c r="N108" s="468"/>
      <c r="O108" s="468"/>
      <c r="P108" s="468"/>
      <c r="Q108" s="468"/>
      <c r="R108" s="23"/>
    </row>
    <row r="109" spans="2:18" x14ac:dyDescent="0.3">
      <c r="B109" s="101">
        <f t="shared" si="55"/>
        <v>8.6999999999999975</v>
      </c>
      <c r="C109" s="446" t="s">
        <v>32</v>
      </c>
      <c r="D109" s="467"/>
      <c r="E109" s="467">
        <f>IFERROR(E110/E108,0)</f>
        <v>0</v>
      </c>
      <c r="F109" s="467">
        <f>IFERROR(F110/F108,0)</f>
        <v>0</v>
      </c>
      <c r="G109" s="468"/>
      <c r="H109" s="467">
        <f>IFERROR(H110/H108,0)</f>
        <v>0</v>
      </c>
      <c r="I109" s="467" t="e">
        <f>I110/I108</f>
        <v>#DIV/0!</v>
      </c>
      <c r="J109" s="468"/>
      <c r="K109" s="468" t="e">
        <f>J110/K108</f>
        <v>#DIV/0!</v>
      </c>
      <c r="L109" s="467" t="e">
        <f>L110/L108</f>
        <v>#DIV/0!</v>
      </c>
      <c r="M109" s="468"/>
      <c r="N109" s="468"/>
      <c r="O109" s="468"/>
      <c r="P109" s="468"/>
      <c r="Q109" s="468"/>
      <c r="R109" s="23"/>
    </row>
    <row r="110" spans="2:18" x14ac:dyDescent="0.3">
      <c r="B110" s="101">
        <f t="shared" si="55"/>
        <v>8.7999999999999972</v>
      </c>
      <c r="C110" s="446" t="s">
        <v>33</v>
      </c>
      <c r="D110" s="467"/>
      <c r="E110" s="467">
        <v>0</v>
      </c>
      <c r="F110" s="467">
        <f t="shared" si="52"/>
        <v>0</v>
      </c>
      <c r="G110" s="468"/>
      <c r="H110" s="467">
        <v>0</v>
      </c>
      <c r="I110" s="467">
        <f t="shared" si="53"/>
        <v>0</v>
      </c>
      <c r="J110" s="468"/>
      <c r="K110" s="467"/>
      <c r="L110" s="467">
        <f t="shared" si="54"/>
        <v>0</v>
      </c>
      <c r="M110" s="468"/>
      <c r="N110" s="468"/>
      <c r="O110" s="468"/>
      <c r="P110" s="468"/>
      <c r="Q110" s="468"/>
      <c r="R110" s="23"/>
    </row>
    <row r="111" spans="2:18" x14ac:dyDescent="0.3">
      <c r="B111" s="101"/>
      <c r="C111" s="446" t="s">
        <v>24</v>
      </c>
      <c r="D111" s="467"/>
      <c r="E111" s="467"/>
      <c r="F111" s="467"/>
      <c r="G111" s="468"/>
      <c r="H111" s="468"/>
      <c r="I111" s="468"/>
      <c r="J111" s="468"/>
      <c r="K111" s="468"/>
      <c r="L111" s="468"/>
      <c r="M111" s="468"/>
      <c r="N111" s="468"/>
      <c r="O111" s="468"/>
      <c r="P111" s="468"/>
      <c r="Q111" s="468"/>
      <c r="R111" s="23"/>
    </row>
    <row r="112" spans="2:18" x14ac:dyDescent="0.3">
      <c r="B112" s="101"/>
      <c r="C112" s="446" t="s">
        <v>24</v>
      </c>
      <c r="D112" s="467"/>
      <c r="E112" s="467"/>
      <c r="F112" s="467"/>
      <c r="G112" s="468"/>
      <c r="H112" s="468"/>
      <c r="I112" s="468"/>
      <c r="J112" s="468"/>
      <c r="K112" s="468"/>
      <c r="L112" s="468"/>
      <c r="M112" s="468"/>
      <c r="N112" s="468"/>
      <c r="O112" s="468"/>
      <c r="P112" s="468"/>
      <c r="Q112" s="468"/>
      <c r="R112" s="23"/>
    </row>
    <row r="113" spans="2:18" x14ac:dyDescent="0.3">
      <c r="B113" s="101"/>
      <c r="C113" s="446" t="s">
        <v>24</v>
      </c>
      <c r="D113" s="467"/>
      <c r="E113" s="467"/>
      <c r="F113" s="467"/>
      <c r="G113" s="468"/>
      <c r="H113" s="468"/>
      <c r="I113" s="468"/>
      <c r="J113" s="468"/>
      <c r="K113" s="468"/>
      <c r="L113" s="468"/>
      <c r="M113" s="468"/>
      <c r="N113" s="468"/>
      <c r="O113" s="468"/>
      <c r="P113" s="468"/>
      <c r="Q113" s="468"/>
      <c r="R113" s="23"/>
    </row>
    <row r="114" spans="2:18" x14ac:dyDescent="0.3">
      <c r="B114" s="101"/>
      <c r="C114" s="446"/>
      <c r="D114" s="467"/>
      <c r="E114" s="467"/>
      <c r="F114" s="467"/>
      <c r="G114" s="468"/>
      <c r="H114" s="468"/>
      <c r="I114" s="468"/>
      <c r="J114" s="468"/>
      <c r="K114" s="468"/>
      <c r="L114" s="468"/>
      <c r="M114" s="468"/>
      <c r="N114" s="468"/>
      <c r="O114" s="468"/>
      <c r="P114" s="468"/>
      <c r="Q114" s="468"/>
      <c r="R114" s="23"/>
    </row>
    <row r="115" spans="2:18" x14ac:dyDescent="0.3">
      <c r="B115" s="101">
        <v>9</v>
      </c>
      <c r="C115" s="446" t="s">
        <v>271</v>
      </c>
      <c r="D115" s="467"/>
      <c r="E115" s="467"/>
      <c r="F115" s="467"/>
      <c r="G115" s="468"/>
      <c r="H115" s="468"/>
      <c r="I115" s="468"/>
      <c r="J115" s="468"/>
      <c r="K115" s="468"/>
      <c r="L115" s="468"/>
      <c r="M115" s="468"/>
      <c r="N115" s="468"/>
      <c r="O115" s="468"/>
      <c r="P115" s="468"/>
      <c r="Q115" s="468"/>
      <c r="R115" s="23"/>
    </row>
    <row r="116" spans="2:18" x14ac:dyDescent="0.3">
      <c r="B116" s="101">
        <f t="shared" ref="B116:B123" si="58">B115+0.1</f>
        <v>9.1</v>
      </c>
      <c r="C116" s="446" t="s">
        <v>29</v>
      </c>
      <c r="D116" s="467"/>
      <c r="E116" s="467">
        <f t="shared" ref="E116:E123" si="59">E33+E43+E53+E63+E73+E83+E93+E103</f>
        <v>0</v>
      </c>
      <c r="F116" s="467">
        <f t="shared" ref="F116:F119" si="60">E116-D116</f>
        <v>0</v>
      </c>
      <c r="G116" s="468"/>
      <c r="H116" s="468">
        <f t="shared" ref="H116:H123" si="61">H33+H43+H53+H63+H73+H83+H93+H103</f>
        <v>0</v>
      </c>
      <c r="I116" s="468"/>
      <c r="J116" s="468"/>
      <c r="K116" s="468">
        <f t="shared" ref="K116:K123" si="62">K33+K43+K53+K63+K73+K83+K93+K103</f>
        <v>0</v>
      </c>
      <c r="L116" s="468"/>
      <c r="M116" s="468">
        <f t="shared" ref="M116" si="63">M33+M43+M53+M63+M73+M83+M93+M103</f>
        <v>0</v>
      </c>
      <c r="N116" s="468">
        <f t="shared" ref="N116:Q123" si="64">N33+N43+N53+N63+N73+N83+N93+N103</f>
        <v>0</v>
      </c>
      <c r="O116" s="468">
        <f t="shared" si="64"/>
        <v>0</v>
      </c>
      <c r="P116" s="468">
        <f t="shared" si="64"/>
        <v>0</v>
      </c>
      <c r="Q116" s="468">
        <f t="shared" si="64"/>
        <v>0</v>
      </c>
      <c r="R116" s="23"/>
    </row>
    <row r="117" spans="2:18" x14ac:dyDescent="0.3">
      <c r="B117" s="101">
        <f t="shared" si="58"/>
        <v>9.1999999999999993</v>
      </c>
      <c r="C117" s="446" t="s">
        <v>405</v>
      </c>
      <c r="D117" s="467"/>
      <c r="E117" s="467">
        <f t="shared" si="59"/>
        <v>0</v>
      </c>
      <c r="F117" s="467">
        <f t="shared" si="60"/>
        <v>0</v>
      </c>
      <c r="G117" s="468"/>
      <c r="H117" s="468">
        <f t="shared" si="61"/>
        <v>0</v>
      </c>
      <c r="I117" s="468"/>
      <c r="J117" s="468"/>
      <c r="K117" s="468">
        <f t="shared" si="62"/>
        <v>0</v>
      </c>
      <c r="L117" s="468"/>
      <c r="M117" s="468">
        <f t="shared" ref="M117" si="65">M34+M44+M54+M64+M74+M84+M94+M104</f>
        <v>0</v>
      </c>
      <c r="N117" s="468">
        <f t="shared" si="64"/>
        <v>0</v>
      </c>
      <c r="O117" s="468">
        <f t="shared" si="64"/>
        <v>0</v>
      </c>
      <c r="P117" s="468">
        <f t="shared" si="64"/>
        <v>0</v>
      </c>
      <c r="Q117" s="468">
        <f t="shared" si="64"/>
        <v>0</v>
      </c>
      <c r="R117" s="23"/>
    </row>
    <row r="118" spans="2:18" x14ac:dyDescent="0.3">
      <c r="B118" s="101">
        <f t="shared" si="58"/>
        <v>9.2999999999999989</v>
      </c>
      <c r="C118" s="446" t="s">
        <v>345</v>
      </c>
      <c r="D118" s="467"/>
      <c r="E118" s="467">
        <f t="shared" si="59"/>
        <v>0</v>
      </c>
      <c r="F118" s="467">
        <f t="shared" si="60"/>
        <v>0</v>
      </c>
      <c r="G118" s="468"/>
      <c r="H118" s="468">
        <f t="shared" si="61"/>
        <v>0</v>
      </c>
      <c r="I118" s="468"/>
      <c r="J118" s="468"/>
      <c r="K118" s="468">
        <f t="shared" si="62"/>
        <v>0</v>
      </c>
      <c r="L118" s="468"/>
      <c r="M118" s="468">
        <f t="shared" ref="M118" si="66">M35+M45+M55+M65+M75+M85+M95+M105</f>
        <v>0</v>
      </c>
      <c r="N118" s="468">
        <f t="shared" si="64"/>
        <v>0</v>
      </c>
      <c r="O118" s="468">
        <f t="shared" si="64"/>
        <v>0</v>
      </c>
      <c r="P118" s="468">
        <f t="shared" si="64"/>
        <v>0</v>
      </c>
      <c r="Q118" s="468">
        <f t="shared" si="64"/>
        <v>0</v>
      </c>
      <c r="R118" s="23"/>
    </row>
    <row r="119" spans="2:18" x14ac:dyDescent="0.3">
      <c r="B119" s="101">
        <f t="shared" si="58"/>
        <v>9.3999999999999986</v>
      </c>
      <c r="C119" s="446" t="s">
        <v>30</v>
      </c>
      <c r="D119" s="467"/>
      <c r="E119" s="467">
        <f t="shared" si="59"/>
        <v>0</v>
      </c>
      <c r="F119" s="467">
        <f t="shared" si="60"/>
        <v>0</v>
      </c>
      <c r="G119" s="468"/>
      <c r="H119" s="468">
        <f t="shared" si="61"/>
        <v>0</v>
      </c>
      <c r="I119" s="468"/>
      <c r="J119" s="468"/>
      <c r="K119" s="468">
        <f t="shared" si="62"/>
        <v>0</v>
      </c>
      <c r="L119" s="468"/>
      <c r="M119" s="468">
        <f t="shared" ref="M119" si="67">M36+M46+M56+M66+M76+M86+M96+M106</f>
        <v>0</v>
      </c>
      <c r="N119" s="468">
        <f t="shared" si="64"/>
        <v>0</v>
      </c>
      <c r="O119" s="468">
        <f t="shared" si="64"/>
        <v>0</v>
      </c>
      <c r="P119" s="468">
        <f t="shared" si="64"/>
        <v>0</v>
      </c>
      <c r="Q119" s="468">
        <f t="shared" si="64"/>
        <v>0</v>
      </c>
      <c r="R119" s="23"/>
    </row>
    <row r="120" spans="2:18" x14ac:dyDescent="0.3">
      <c r="B120" s="101">
        <f t="shared" si="58"/>
        <v>9.4999999999999982</v>
      </c>
      <c r="C120" s="446" t="s">
        <v>31</v>
      </c>
      <c r="D120" s="467"/>
      <c r="E120" s="467">
        <f>+E116-E117+E118-E119</f>
        <v>0</v>
      </c>
      <c r="F120" s="467">
        <f t="shared" ref="F120:F121" si="68">E120-D120</f>
        <v>0</v>
      </c>
      <c r="G120" s="468"/>
      <c r="H120" s="468">
        <f t="shared" si="61"/>
        <v>0</v>
      </c>
      <c r="I120" s="468"/>
      <c r="J120" s="468"/>
      <c r="K120" s="468">
        <f t="shared" si="62"/>
        <v>0</v>
      </c>
      <c r="L120" s="468"/>
      <c r="M120" s="468">
        <f t="shared" ref="M120" si="69">M37+M47+M57+M67+M77+M87+M97+M107</f>
        <v>0</v>
      </c>
      <c r="N120" s="468">
        <f t="shared" si="64"/>
        <v>0</v>
      </c>
      <c r="O120" s="468">
        <f t="shared" si="64"/>
        <v>0</v>
      </c>
      <c r="P120" s="468">
        <f t="shared" si="64"/>
        <v>0</v>
      </c>
      <c r="Q120" s="468">
        <f t="shared" si="64"/>
        <v>0</v>
      </c>
      <c r="R120" s="23"/>
    </row>
    <row r="121" spans="2:18" x14ac:dyDescent="0.3">
      <c r="B121" s="101">
        <f t="shared" si="58"/>
        <v>9.5999999999999979</v>
      </c>
      <c r="C121" s="446" t="s">
        <v>483</v>
      </c>
      <c r="D121" s="467"/>
      <c r="E121" s="395">
        <f t="shared" ref="E121" si="70">AVERAGE(E116,E120)</f>
        <v>0</v>
      </c>
      <c r="F121" s="467">
        <f t="shared" si="68"/>
        <v>0</v>
      </c>
      <c r="G121" s="468"/>
      <c r="H121" s="468">
        <f t="shared" si="61"/>
        <v>0</v>
      </c>
      <c r="I121" s="468"/>
      <c r="J121" s="468"/>
      <c r="K121" s="468">
        <f t="shared" si="62"/>
        <v>0</v>
      </c>
      <c r="L121" s="468"/>
      <c r="M121" s="468">
        <f t="shared" ref="M121" si="71">M38+M48+M58+M68+M78+M88+M98+M108</f>
        <v>0</v>
      </c>
      <c r="N121" s="468">
        <f t="shared" si="64"/>
        <v>0</v>
      </c>
      <c r="O121" s="468">
        <f t="shared" si="64"/>
        <v>0</v>
      </c>
      <c r="P121" s="468">
        <f t="shared" si="64"/>
        <v>0</v>
      </c>
      <c r="Q121" s="468">
        <f t="shared" si="64"/>
        <v>0</v>
      </c>
      <c r="R121" s="23"/>
    </row>
    <row r="122" spans="2:18" x14ac:dyDescent="0.3">
      <c r="B122" s="101">
        <f t="shared" si="58"/>
        <v>9.6999999999999975</v>
      </c>
      <c r="C122" s="446" t="s">
        <v>32</v>
      </c>
      <c r="D122" s="467">
        <f>IFERROR(D123/D121,0)</f>
        <v>0</v>
      </c>
      <c r="E122" s="467">
        <f>IFERROR(E123/E121,0)</f>
        <v>0</v>
      </c>
      <c r="F122" s="467">
        <f>IFERROR(F123/F121,0)</f>
        <v>0</v>
      </c>
      <c r="G122" s="467" t="e">
        <f t="shared" ref="G122:N122" si="72">G123/G121</f>
        <v>#DIV/0!</v>
      </c>
      <c r="H122" s="467" t="e">
        <f t="shared" si="72"/>
        <v>#DIV/0!</v>
      </c>
      <c r="I122" s="467" t="e">
        <f t="shared" si="72"/>
        <v>#DIV/0!</v>
      </c>
      <c r="J122" s="467" t="e">
        <f t="shared" si="72"/>
        <v>#DIV/0!</v>
      </c>
      <c r="K122" s="467" t="e">
        <f t="shared" si="72"/>
        <v>#DIV/0!</v>
      </c>
      <c r="L122" s="467" t="e">
        <f t="shared" si="72"/>
        <v>#DIV/0!</v>
      </c>
      <c r="M122" s="467" t="e">
        <f t="shared" ref="M122" si="73">M123/M121</f>
        <v>#DIV/0!</v>
      </c>
      <c r="N122" s="467" t="e">
        <f t="shared" si="72"/>
        <v>#DIV/0!</v>
      </c>
      <c r="O122" s="467" t="e">
        <f t="shared" ref="O122:Q122" si="74">O123/O121</f>
        <v>#DIV/0!</v>
      </c>
      <c r="P122" s="467" t="e">
        <f t="shared" si="74"/>
        <v>#DIV/0!</v>
      </c>
      <c r="Q122" s="467" t="e">
        <f t="shared" si="74"/>
        <v>#DIV/0!</v>
      </c>
      <c r="R122" s="23"/>
    </row>
    <row r="123" spans="2:18" x14ac:dyDescent="0.3">
      <c r="B123" s="101">
        <f t="shared" si="58"/>
        <v>9.7999999999999972</v>
      </c>
      <c r="C123" s="446" t="s">
        <v>33</v>
      </c>
      <c r="D123" s="467"/>
      <c r="E123" s="467">
        <f t="shared" si="59"/>
        <v>0</v>
      </c>
      <c r="F123" s="467"/>
      <c r="G123" s="468"/>
      <c r="H123" s="468">
        <f t="shared" si="61"/>
        <v>0</v>
      </c>
      <c r="I123" s="468"/>
      <c r="J123" s="468"/>
      <c r="K123" s="468">
        <f t="shared" si="62"/>
        <v>0</v>
      </c>
      <c r="L123" s="468"/>
      <c r="M123" s="468">
        <f t="shared" ref="M123" si="75">M40+M50+M60+M70+M80+M90+M100+M110</f>
        <v>0</v>
      </c>
      <c r="N123" s="468">
        <f t="shared" si="64"/>
        <v>0</v>
      </c>
      <c r="O123" s="468">
        <f t="shared" si="64"/>
        <v>0</v>
      </c>
      <c r="P123" s="468">
        <f t="shared" si="64"/>
        <v>0</v>
      </c>
      <c r="Q123" s="468">
        <f t="shared" si="64"/>
        <v>0</v>
      </c>
      <c r="R123" s="23"/>
    </row>
    <row r="124" spans="2:18" x14ac:dyDescent="0.3">
      <c r="B124" s="101"/>
      <c r="C124" s="446"/>
      <c r="D124" s="467"/>
      <c r="E124" s="467"/>
      <c r="F124" s="467"/>
      <c r="G124" s="468"/>
      <c r="H124" s="468"/>
      <c r="I124" s="468"/>
      <c r="J124" s="468"/>
      <c r="K124" s="468"/>
      <c r="L124" s="468"/>
      <c r="M124" s="468"/>
      <c r="N124" s="468"/>
      <c r="O124" s="468"/>
      <c r="P124" s="468"/>
      <c r="Q124" s="468"/>
      <c r="R124" s="23"/>
    </row>
    <row r="125" spans="2:18" x14ac:dyDescent="0.3">
      <c r="B125" s="101"/>
      <c r="C125" s="446"/>
      <c r="D125" s="467"/>
      <c r="E125" s="467"/>
      <c r="F125" s="467"/>
      <c r="G125" s="468"/>
      <c r="H125" s="468"/>
      <c r="I125" s="468"/>
      <c r="J125" s="468"/>
      <c r="K125" s="468"/>
      <c r="L125" s="468"/>
      <c r="M125" s="468"/>
      <c r="N125" s="468"/>
      <c r="O125" s="468"/>
      <c r="P125" s="468"/>
      <c r="Q125" s="468"/>
      <c r="R125" s="23"/>
    </row>
    <row r="126" spans="2:18" x14ac:dyDescent="0.3">
      <c r="B126" s="101">
        <v>10</v>
      </c>
      <c r="C126" s="446" t="s">
        <v>34</v>
      </c>
      <c r="D126" s="467"/>
      <c r="E126" s="467">
        <f>E123</f>
        <v>0</v>
      </c>
      <c r="F126" s="467"/>
      <c r="G126" s="468"/>
      <c r="H126" s="468">
        <f>H123</f>
        <v>0</v>
      </c>
      <c r="I126" s="468"/>
      <c r="J126" s="468"/>
      <c r="K126" s="468">
        <f>K123</f>
        <v>0</v>
      </c>
      <c r="L126" s="468"/>
      <c r="M126" s="468">
        <f>M123</f>
        <v>0</v>
      </c>
      <c r="N126" s="468">
        <f>N123</f>
        <v>0</v>
      </c>
      <c r="O126" s="468">
        <f t="shared" ref="O126:Q126" si="76">O123</f>
        <v>0</v>
      </c>
      <c r="P126" s="468">
        <f t="shared" si="76"/>
        <v>0</v>
      </c>
      <c r="Q126" s="468">
        <f t="shared" si="76"/>
        <v>0</v>
      </c>
      <c r="R126" s="23"/>
    </row>
    <row r="127" spans="2:18" x14ac:dyDescent="0.3">
      <c r="B127" s="101">
        <v>11</v>
      </c>
      <c r="C127" s="446" t="s">
        <v>35</v>
      </c>
      <c r="D127" s="467"/>
      <c r="E127" s="467"/>
      <c r="F127" s="467"/>
      <c r="G127" s="468"/>
      <c r="H127" s="468"/>
      <c r="I127" s="468"/>
      <c r="J127" s="468"/>
      <c r="K127" s="468"/>
      <c r="L127" s="468"/>
      <c r="M127" s="468"/>
      <c r="N127" s="468"/>
      <c r="O127" s="468"/>
      <c r="P127" s="468"/>
      <c r="Q127" s="468"/>
      <c r="R127" s="23"/>
    </row>
    <row r="128" spans="2:18" x14ac:dyDescent="0.3">
      <c r="B128" s="101">
        <v>12</v>
      </c>
      <c r="C128" s="446" t="s">
        <v>36</v>
      </c>
      <c r="D128" s="467"/>
      <c r="E128" s="467">
        <f>E126-E127</f>
        <v>0</v>
      </c>
      <c r="F128" s="467"/>
      <c r="G128" s="468"/>
      <c r="H128" s="468">
        <f>H126-H127</f>
        <v>0</v>
      </c>
      <c r="I128" s="468"/>
      <c r="J128" s="468"/>
      <c r="K128" s="468">
        <f>K126-K127</f>
        <v>0</v>
      </c>
      <c r="L128" s="468"/>
      <c r="M128" s="468">
        <f>M126-M127</f>
        <v>0</v>
      </c>
      <c r="N128" s="468">
        <f>N126-N127</f>
        <v>0</v>
      </c>
      <c r="O128" s="468">
        <f t="shared" ref="O128:Q128" si="77">O126-O127</f>
        <v>0</v>
      </c>
      <c r="P128" s="468">
        <f t="shared" si="77"/>
        <v>0</v>
      </c>
      <c r="Q128" s="468">
        <f t="shared" si="77"/>
        <v>0</v>
      </c>
      <c r="R128" s="23"/>
    </row>
    <row r="129" spans="2:20" x14ac:dyDescent="0.3">
      <c r="B129" s="101"/>
      <c r="C129" s="446"/>
      <c r="D129" s="23"/>
      <c r="E129" s="23"/>
      <c r="F129" s="23"/>
      <c r="G129" s="23"/>
      <c r="H129" s="23"/>
      <c r="I129" s="23"/>
      <c r="J129" s="23"/>
      <c r="K129" s="23"/>
      <c r="L129" s="23"/>
      <c r="M129" s="23"/>
      <c r="N129" s="23"/>
      <c r="O129" s="23"/>
      <c r="P129" s="23"/>
      <c r="Q129" s="23"/>
    </row>
    <row r="130" spans="2:20" x14ac:dyDescent="0.3">
      <c r="C130" s="448"/>
      <c r="N130" s="13"/>
    </row>
    <row r="131" spans="2:20" x14ac:dyDescent="0.3">
      <c r="C131" s="448" t="s">
        <v>740</v>
      </c>
      <c r="N131" s="13"/>
    </row>
    <row r="132" spans="2:20" x14ac:dyDescent="0.3">
      <c r="C132" s="448" t="s">
        <v>502</v>
      </c>
      <c r="N132" s="13"/>
    </row>
    <row r="133" spans="2:20" x14ac:dyDescent="0.25">
      <c r="N133" s="13"/>
    </row>
    <row r="134" spans="2:20" ht="17.5" x14ac:dyDescent="0.35">
      <c r="C134" s="449" t="s">
        <v>842</v>
      </c>
      <c r="D134" s="450"/>
      <c r="E134" s="450"/>
      <c r="F134" s="450"/>
      <c r="G134" s="450"/>
      <c r="H134" s="450"/>
      <c r="I134" s="450"/>
      <c r="J134" s="451"/>
      <c r="K134" s="451"/>
      <c r="L134" s="451"/>
      <c r="M134" s="451"/>
      <c r="N134" s="451"/>
      <c r="O134" s="451"/>
      <c r="P134" s="451"/>
      <c r="Q134" s="451"/>
      <c r="R134" s="451"/>
      <c r="S134" s="451"/>
      <c r="T134" s="451"/>
    </row>
    <row r="135" spans="2:20" x14ac:dyDescent="0.3">
      <c r="C135" s="448"/>
      <c r="D135" s="450"/>
      <c r="E135" s="450"/>
      <c r="F135" s="450"/>
      <c r="G135" s="450"/>
      <c r="H135" s="450"/>
      <c r="I135" s="450"/>
      <c r="J135" s="451"/>
      <c r="K135" s="451"/>
      <c r="L135" s="451"/>
      <c r="M135" s="451"/>
      <c r="N135" s="451"/>
      <c r="O135" s="451"/>
      <c r="P135" s="451"/>
      <c r="Q135" s="451"/>
      <c r="R135" s="451"/>
      <c r="S135" s="451" t="s">
        <v>10</v>
      </c>
      <c r="T135" s="451"/>
    </row>
    <row r="136" spans="2:20" x14ac:dyDescent="0.25">
      <c r="B136" s="1476" t="s">
        <v>346</v>
      </c>
      <c r="C136" s="1671" t="s">
        <v>26</v>
      </c>
      <c r="D136" s="1583" t="s">
        <v>519</v>
      </c>
      <c r="E136" s="1584"/>
      <c r="F136" s="1585"/>
      <c r="G136" s="1583" t="s">
        <v>520</v>
      </c>
      <c r="H136" s="1584"/>
      <c r="I136" s="1585"/>
      <c r="J136" s="1583" t="s">
        <v>521</v>
      </c>
      <c r="K136" s="1584"/>
      <c r="L136" s="1585"/>
      <c r="M136" s="601" t="s">
        <v>940</v>
      </c>
      <c r="N136" s="601" t="s">
        <v>941</v>
      </c>
      <c r="O136" s="589" t="s">
        <v>945</v>
      </c>
      <c r="P136" s="589" t="s">
        <v>942</v>
      </c>
      <c r="Q136" s="589" t="s">
        <v>944</v>
      </c>
    </row>
    <row r="137" spans="2:20" ht="28" x14ac:dyDescent="0.25">
      <c r="B137" s="1476"/>
      <c r="C137" s="1671"/>
      <c r="D137" s="452" t="s">
        <v>458</v>
      </c>
      <c r="E137" s="453" t="s">
        <v>79</v>
      </c>
      <c r="F137" s="453" t="s">
        <v>459</v>
      </c>
      <c r="G137" s="345" t="s">
        <v>458</v>
      </c>
      <c r="H137" s="444" t="s">
        <v>79</v>
      </c>
      <c r="I137" s="444" t="s">
        <v>459</v>
      </c>
      <c r="J137" s="444" t="s">
        <v>458</v>
      </c>
      <c r="K137" s="444" t="s">
        <v>80</v>
      </c>
      <c r="L137" s="444" t="s">
        <v>460</v>
      </c>
      <c r="M137" s="591" t="s">
        <v>943</v>
      </c>
      <c r="N137" s="591" t="s">
        <v>943</v>
      </c>
      <c r="O137" s="591" t="s">
        <v>943</v>
      </c>
      <c r="P137" s="591" t="s">
        <v>943</v>
      </c>
      <c r="Q137" s="591" t="s">
        <v>943</v>
      </c>
    </row>
    <row r="138" spans="2:20" x14ac:dyDescent="0.25">
      <c r="B138" s="443"/>
      <c r="C138" s="454"/>
      <c r="D138" s="591" t="s">
        <v>81</v>
      </c>
      <c r="E138" s="591" t="s">
        <v>82</v>
      </c>
      <c r="F138" s="591" t="s">
        <v>692</v>
      </c>
      <c r="G138" s="591" t="s">
        <v>397</v>
      </c>
      <c r="H138" s="591" t="s">
        <v>414</v>
      </c>
      <c r="I138" s="591" t="s">
        <v>465</v>
      </c>
      <c r="J138" s="604" t="s">
        <v>415</v>
      </c>
      <c r="K138" s="604" t="s">
        <v>416</v>
      </c>
      <c r="L138" s="604" t="s">
        <v>523</v>
      </c>
      <c r="M138" s="591" t="s">
        <v>670</v>
      </c>
      <c r="N138" s="591" t="s">
        <v>604</v>
      </c>
      <c r="O138" s="591" t="s">
        <v>605</v>
      </c>
      <c r="P138" s="591" t="s">
        <v>606</v>
      </c>
      <c r="Q138" s="591" t="s">
        <v>607</v>
      </c>
    </row>
    <row r="139" spans="2:20" x14ac:dyDescent="0.3">
      <c r="B139" s="101">
        <v>1</v>
      </c>
      <c r="C139" s="610" t="s">
        <v>1422</v>
      </c>
      <c r="D139" s="455"/>
      <c r="E139" s="455"/>
      <c r="F139" s="455"/>
      <c r="G139" s="455"/>
      <c r="H139" s="455"/>
      <c r="I139" s="455"/>
      <c r="J139" s="455"/>
      <c r="K139" s="455"/>
      <c r="L139" s="455"/>
      <c r="M139" s="455"/>
      <c r="N139" s="455"/>
      <c r="O139" s="455"/>
      <c r="P139" s="455"/>
      <c r="Q139" s="455"/>
    </row>
    <row r="140" spans="2:20" x14ac:dyDescent="0.3">
      <c r="B140" s="101">
        <v>1.1000000000000001</v>
      </c>
      <c r="C140" s="446" t="s">
        <v>29</v>
      </c>
      <c r="D140" s="467"/>
      <c r="E140" s="467">
        <v>3.9203377999999991</v>
      </c>
      <c r="F140" s="467">
        <f>E140-D140</f>
        <v>3.9203377999999991</v>
      </c>
      <c r="G140" s="468"/>
      <c r="H140" s="467">
        <v>7.8658499999999991</v>
      </c>
      <c r="I140" s="467">
        <f>H140-G140</f>
        <v>7.8658499999999991</v>
      </c>
      <c r="J140" s="468"/>
      <c r="K140" s="467"/>
      <c r="L140" s="467">
        <f>K140-J140</f>
        <v>0</v>
      </c>
      <c r="M140" s="468"/>
      <c r="N140" s="468"/>
      <c r="O140" s="468"/>
      <c r="P140" s="468"/>
      <c r="Q140" s="468"/>
    </row>
    <row r="141" spans="2:20" x14ac:dyDescent="0.3">
      <c r="B141" s="101">
        <f t="shared" ref="B141:B147" si="78">B140+0.1</f>
        <v>1.2000000000000002</v>
      </c>
      <c r="C141" s="446" t="s">
        <v>405</v>
      </c>
      <c r="D141" s="467"/>
      <c r="E141" s="467">
        <v>0</v>
      </c>
      <c r="F141" s="467">
        <f t="shared" ref="F141:F147" si="79">E141-D141</f>
        <v>0</v>
      </c>
      <c r="G141" s="468"/>
      <c r="H141" s="467">
        <v>0</v>
      </c>
      <c r="I141" s="467">
        <f t="shared" ref="I141:I147" si="80">H141-G141</f>
        <v>0</v>
      </c>
      <c r="J141" s="468"/>
      <c r="K141" s="467"/>
      <c r="L141" s="467">
        <f t="shared" ref="L141:L147" si="81">K141-J141</f>
        <v>0</v>
      </c>
      <c r="M141" s="468"/>
      <c r="N141" s="468"/>
      <c r="O141" s="468"/>
      <c r="P141" s="468"/>
      <c r="Q141" s="468"/>
    </row>
    <row r="142" spans="2:20" x14ac:dyDescent="0.3">
      <c r="B142" s="101">
        <f t="shared" si="78"/>
        <v>1.3000000000000003</v>
      </c>
      <c r="C142" s="446" t="s">
        <v>345</v>
      </c>
      <c r="D142" s="467"/>
      <c r="E142" s="467">
        <v>4.3777157999999998</v>
      </c>
      <c r="F142" s="467">
        <f t="shared" si="79"/>
        <v>4.3777157999999998</v>
      </c>
      <c r="G142" s="468"/>
      <c r="H142" s="467">
        <v>0.60034719999999997</v>
      </c>
      <c r="I142" s="467">
        <f t="shared" si="80"/>
        <v>0.60034719999999997</v>
      </c>
      <c r="J142" s="468"/>
      <c r="K142" s="467"/>
      <c r="L142" s="467">
        <f t="shared" si="81"/>
        <v>0</v>
      </c>
      <c r="M142" s="468"/>
      <c r="N142" s="468"/>
      <c r="O142" s="468"/>
      <c r="P142" s="468"/>
      <c r="Q142" s="468"/>
    </row>
    <row r="143" spans="2:20" x14ac:dyDescent="0.3">
      <c r="B143" s="101">
        <f t="shared" si="78"/>
        <v>1.4000000000000004</v>
      </c>
      <c r="C143" s="446" t="s">
        <v>30</v>
      </c>
      <c r="D143" s="467"/>
      <c r="E143" s="467">
        <v>0.43220360000000002</v>
      </c>
      <c r="F143" s="467">
        <f t="shared" si="79"/>
        <v>0.43220360000000002</v>
      </c>
      <c r="G143" s="468"/>
      <c r="H143" s="467">
        <v>0.43220340000000002</v>
      </c>
      <c r="I143" s="467">
        <f t="shared" si="80"/>
        <v>0.43220340000000002</v>
      </c>
      <c r="J143" s="468"/>
      <c r="K143" s="467"/>
      <c r="L143" s="467">
        <f t="shared" si="81"/>
        <v>0</v>
      </c>
      <c r="M143" s="468"/>
      <c r="N143" s="468"/>
      <c r="O143" s="468"/>
      <c r="P143" s="468"/>
      <c r="Q143" s="468"/>
    </row>
    <row r="144" spans="2:20" x14ac:dyDescent="0.3">
      <c r="B144" s="101">
        <f t="shared" si="78"/>
        <v>1.5000000000000004</v>
      </c>
      <c r="C144" s="446" t="s">
        <v>31</v>
      </c>
      <c r="D144" s="467"/>
      <c r="E144" s="467">
        <v>7.8658499999999991</v>
      </c>
      <c r="F144" s="467">
        <f t="shared" si="79"/>
        <v>7.8658499999999991</v>
      </c>
      <c r="G144" s="468"/>
      <c r="H144" s="467">
        <v>8.0339937999999993</v>
      </c>
      <c r="I144" s="467">
        <f t="shared" si="80"/>
        <v>8.0339937999999993</v>
      </c>
      <c r="J144" s="468"/>
      <c r="K144" s="468">
        <f>+J140-J141+J142-J143</f>
        <v>0</v>
      </c>
      <c r="L144" s="467">
        <f t="shared" si="81"/>
        <v>0</v>
      </c>
      <c r="M144" s="468"/>
      <c r="N144" s="468"/>
      <c r="O144" s="468"/>
      <c r="P144" s="468"/>
      <c r="Q144" s="468"/>
    </row>
    <row r="145" spans="2:17" x14ac:dyDescent="0.3">
      <c r="B145" s="101">
        <f t="shared" si="78"/>
        <v>1.6000000000000005</v>
      </c>
      <c r="C145" s="446" t="s">
        <v>483</v>
      </c>
      <c r="D145" s="467"/>
      <c r="E145" s="395">
        <f t="shared" ref="E145" si="82">AVERAGE(E140,E144)</f>
        <v>5.8930938999999993</v>
      </c>
      <c r="F145" s="467">
        <f t="shared" si="79"/>
        <v>5.8930938999999993</v>
      </c>
      <c r="G145" s="468"/>
      <c r="H145" s="395">
        <f t="shared" ref="H145" si="83">AVERAGE(H140,H144)</f>
        <v>7.9499218999999997</v>
      </c>
      <c r="I145" s="467">
        <f t="shared" si="80"/>
        <v>7.9499218999999997</v>
      </c>
      <c r="J145" s="468"/>
      <c r="K145" s="467"/>
      <c r="L145" s="467">
        <f t="shared" si="81"/>
        <v>0</v>
      </c>
      <c r="M145" s="468"/>
      <c r="N145" s="468"/>
      <c r="O145" s="468"/>
      <c r="P145" s="468"/>
      <c r="Q145" s="468"/>
    </row>
    <row r="146" spans="2:17" x14ac:dyDescent="0.3">
      <c r="B146" s="101">
        <f t="shared" si="78"/>
        <v>1.7000000000000006</v>
      </c>
      <c r="C146" s="446" t="s">
        <v>32</v>
      </c>
      <c r="D146" s="467"/>
      <c r="E146" s="467">
        <f>IFERROR(E147/E145,0)</f>
        <v>0.10332433358986526</v>
      </c>
      <c r="F146" s="467">
        <f>IFERROR(F147/F145,0)</f>
        <v>0.10332433358986526</v>
      </c>
      <c r="G146" s="468"/>
      <c r="H146" s="467">
        <f>IFERROR(H147/H145,0)</f>
        <v>9.6124006801412892E-2</v>
      </c>
      <c r="I146" s="467">
        <f>I147/I145</f>
        <v>9.6124006801412892E-2</v>
      </c>
      <c r="J146" s="468"/>
      <c r="K146" s="468" t="e">
        <f>J147/K145</f>
        <v>#DIV/0!</v>
      </c>
      <c r="L146" s="467" t="e">
        <f>L147/L145</f>
        <v>#DIV/0!</v>
      </c>
      <c r="M146" s="468"/>
      <c r="N146" s="468"/>
      <c r="O146" s="468"/>
      <c r="P146" s="468"/>
      <c r="Q146" s="468"/>
    </row>
    <row r="147" spans="2:17" x14ac:dyDescent="0.3">
      <c r="B147" s="101">
        <f t="shared" si="78"/>
        <v>1.8000000000000007</v>
      </c>
      <c r="C147" s="446" t="s">
        <v>33</v>
      </c>
      <c r="D147" s="467"/>
      <c r="E147" s="467">
        <v>0.6089</v>
      </c>
      <c r="F147" s="467">
        <f t="shared" si="79"/>
        <v>0.6089</v>
      </c>
      <c r="G147" s="468"/>
      <c r="H147" s="467">
        <v>0.76417834678630125</v>
      </c>
      <c r="I147" s="467">
        <f t="shared" si="80"/>
        <v>0.76417834678630125</v>
      </c>
      <c r="J147" s="468"/>
      <c r="K147" s="467"/>
      <c r="L147" s="467">
        <f t="shared" si="81"/>
        <v>0</v>
      </c>
      <c r="M147" s="468"/>
      <c r="N147" s="468"/>
      <c r="O147" s="468"/>
      <c r="P147" s="468"/>
      <c r="Q147" s="468"/>
    </row>
    <row r="148" spans="2:17" x14ac:dyDescent="0.3">
      <c r="B148" s="101"/>
      <c r="C148" s="446"/>
      <c r="D148" s="467"/>
      <c r="E148" s="467"/>
      <c r="F148" s="467"/>
      <c r="G148" s="468"/>
      <c r="H148" s="467"/>
      <c r="I148" s="467"/>
      <c r="J148" s="468"/>
      <c r="K148" s="467"/>
      <c r="L148" s="467"/>
      <c r="M148" s="468"/>
      <c r="N148" s="468"/>
      <c r="O148" s="468"/>
      <c r="P148" s="468"/>
      <c r="Q148" s="468"/>
    </row>
    <row r="149" spans="2:17" x14ac:dyDescent="0.3">
      <c r="B149" s="101">
        <v>2</v>
      </c>
      <c r="C149" s="610" t="s">
        <v>1423</v>
      </c>
      <c r="D149" s="467"/>
      <c r="E149" s="467"/>
      <c r="F149" s="467"/>
      <c r="G149" s="468"/>
      <c r="H149" s="467"/>
      <c r="I149" s="467"/>
      <c r="J149" s="468"/>
      <c r="K149" s="467"/>
      <c r="L149" s="467"/>
      <c r="M149" s="468"/>
      <c r="N149" s="468"/>
      <c r="O149" s="468"/>
      <c r="P149" s="468"/>
      <c r="Q149" s="468"/>
    </row>
    <row r="150" spans="2:17" x14ac:dyDescent="0.3">
      <c r="B150" s="101">
        <f t="shared" ref="B150:B157" si="84">B149+0.1</f>
        <v>2.1</v>
      </c>
      <c r="C150" s="446" t="s">
        <v>29</v>
      </c>
      <c r="D150" s="467"/>
      <c r="E150" s="467">
        <v>0</v>
      </c>
      <c r="F150" s="467">
        <f t="shared" ref="F150:F157" si="85">E150-D150</f>
        <v>0</v>
      </c>
      <c r="G150" s="468"/>
      <c r="H150" s="467">
        <v>0</v>
      </c>
      <c r="I150" s="467">
        <f t="shared" ref="I150:I157" si="86">H150-G150</f>
        <v>0</v>
      </c>
      <c r="J150" s="468"/>
      <c r="K150" s="467"/>
      <c r="L150" s="467">
        <f t="shared" ref="L150:L157" si="87">K150-J150</f>
        <v>0</v>
      </c>
      <c r="M150" s="468"/>
      <c r="N150" s="468"/>
      <c r="O150" s="468"/>
      <c r="P150" s="468"/>
      <c r="Q150" s="468"/>
    </row>
    <row r="151" spans="2:17" x14ac:dyDescent="0.3">
      <c r="B151" s="101">
        <f t="shared" si="84"/>
        <v>2.2000000000000002</v>
      </c>
      <c r="C151" s="446" t="s">
        <v>405</v>
      </c>
      <c r="D151" s="467"/>
      <c r="E151" s="467">
        <v>0</v>
      </c>
      <c r="F151" s="467">
        <f t="shared" si="85"/>
        <v>0</v>
      </c>
      <c r="G151" s="468"/>
      <c r="H151" s="467">
        <v>0</v>
      </c>
      <c r="I151" s="467">
        <f t="shared" si="86"/>
        <v>0</v>
      </c>
      <c r="J151" s="468"/>
      <c r="K151" s="467"/>
      <c r="L151" s="467">
        <f t="shared" si="87"/>
        <v>0</v>
      </c>
      <c r="M151" s="468"/>
      <c r="N151" s="468"/>
      <c r="O151" s="468"/>
      <c r="P151" s="468"/>
      <c r="Q151" s="468"/>
    </row>
    <row r="152" spans="2:17" x14ac:dyDescent="0.3">
      <c r="B152" s="101">
        <f t="shared" si="84"/>
        <v>2.3000000000000003</v>
      </c>
      <c r="C152" s="446" t="s">
        <v>345</v>
      </c>
      <c r="D152" s="467"/>
      <c r="E152" s="467">
        <v>0</v>
      </c>
      <c r="F152" s="467">
        <f t="shared" si="85"/>
        <v>0</v>
      </c>
      <c r="G152" s="468"/>
      <c r="H152" s="467">
        <v>0</v>
      </c>
      <c r="I152" s="467">
        <f t="shared" si="86"/>
        <v>0</v>
      </c>
      <c r="J152" s="468"/>
      <c r="K152" s="467"/>
      <c r="L152" s="467">
        <f t="shared" si="87"/>
        <v>0</v>
      </c>
      <c r="M152" s="468"/>
      <c r="N152" s="468"/>
      <c r="O152" s="468"/>
      <c r="P152" s="468"/>
      <c r="Q152" s="468"/>
    </row>
    <row r="153" spans="2:17" x14ac:dyDescent="0.3">
      <c r="B153" s="101">
        <f t="shared" si="84"/>
        <v>2.4000000000000004</v>
      </c>
      <c r="C153" s="446" t="s">
        <v>30</v>
      </c>
      <c r="D153" s="467"/>
      <c r="E153" s="467">
        <v>0</v>
      </c>
      <c r="F153" s="467">
        <f t="shared" si="85"/>
        <v>0</v>
      </c>
      <c r="G153" s="468"/>
      <c r="H153" s="467">
        <v>0</v>
      </c>
      <c r="I153" s="467">
        <f t="shared" si="86"/>
        <v>0</v>
      </c>
      <c r="J153" s="468"/>
      <c r="K153" s="467"/>
      <c r="L153" s="467">
        <f t="shared" si="87"/>
        <v>0</v>
      </c>
      <c r="M153" s="468"/>
      <c r="N153" s="468"/>
      <c r="O153" s="468"/>
      <c r="P153" s="468"/>
      <c r="Q153" s="468"/>
    </row>
    <row r="154" spans="2:17" x14ac:dyDescent="0.3">
      <c r="B154" s="101">
        <f t="shared" si="84"/>
        <v>2.5000000000000004</v>
      </c>
      <c r="C154" s="446" t="s">
        <v>31</v>
      </c>
      <c r="D154" s="467"/>
      <c r="E154" s="467">
        <f>+E150-E151+E152-E153</f>
        <v>0</v>
      </c>
      <c r="F154" s="467">
        <f t="shared" si="85"/>
        <v>0</v>
      </c>
      <c r="G154" s="468"/>
      <c r="H154" s="467">
        <f>+H150-H151+H152-H153</f>
        <v>0</v>
      </c>
      <c r="I154" s="467">
        <f t="shared" si="86"/>
        <v>0</v>
      </c>
      <c r="J154" s="468"/>
      <c r="K154" s="468">
        <f>+J150-J151+J152-J153</f>
        <v>0</v>
      </c>
      <c r="L154" s="467">
        <f t="shared" si="87"/>
        <v>0</v>
      </c>
      <c r="M154" s="468"/>
      <c r="N154" s="468"/>
      <c r="O154" s="468"/>
      <c r="P154" s="468"/>
      <c r="Q154" s="468"/>
    </row>
    <row r="155" spans="2:17" x14ac:dyDescent="0.3">
      <c r="B155" s="101">
        <f t="shared" si="84"/>
        <v>2.6000000000000005</v>
      </c>
      <c r="C155" s="446" t="s">
        <v>483</v>
      </c>
      <c r="D155" s="467"/>
      <c r="E155" s="395">
        <f t="shared" ref="E155" si="88">AVERAGE(E150,E154)</f>
        <v>0</v>
      </c>
      <c r="F155" s="467">
        <f t="shared" si="85"/>
        <v>0</v>
      </c>
      <c r="G155" s="468"/>
      <c r="H155" s="395">
        <f t="shared" ref="H155" si="89">AVERAGE(H150,H154)</f>
        <v>0</v>
      </c>
      <c r="I155" s="467">
        <f t="shared" si="86"/>
        <v>0</v>
      </c>
      <c r="J155" s="468"/>
      <c r="K155" s="467"/>
      <c r="L155" s="467">
        <f t="shared" si="87"/>
        <v>0</v>
      </c>
      <c r="M155" s="468"/>
      <c r="N155" s="468"/>
      <c r="O155" s="468"/>
      <c r="P155" s="468"/>
      <c r="Q155" s="468"/>
    </row>
    <row r="156" spans="2:17" x14ac:dyDescent="0.3">
      <c r="B156" s="101">
        <f t="shared" si="84"/>
        <v>2.7000000000000006</v>
      </c>
      <c r="C156" s="446" t="s">
        <v>32</v>
      </c>
      <c r="D156" s="467"/>
      <c r="E156" s="467">
        <f>IFERROR(E157/E155,0)</f>
        <v>0</v>
      </c>
      <c r="F156" s="467">
        <f>IFERROR(F157/F155,0)</f>
        <v>0</v>
      </c>
      <c r="G156" s="468"/>
      <c r="H156" s="467">
        <f>IFERROR(H157/H155,0)</f>
        <v>0</v>
      </c>
      <c r="I156" s="467" t="e">
        <f>I157/I155</f>
        <v>#DIV/0!</v>
      </c>
      <c r="J156" s="468"/>
      <c r="K156" s="468" t="e">
        <f>J157/K155</f>
        <v>#DIV/0!</v>
      </c>
      <c r="L156" s="467" t="e">
        <f>L157/L155</f>
        <v>#DIV/0!</v>
      </c>
      <c r="M156" s="468"/>
      <c r="N156" s="468"/>
      <c r="O156" s="468"/>
      <c r="P156" s="468"/>
      <c r="Q156" s="468"/>
    </row>
    <row r="157" spans="2:17" x14ac:dyDescent="0.3">
      <c r="B157" s="101">
        <f t="shared" si="84"/>
        <v>2.8000000000000007</v>
      </c>
      <c r="C157" s="446" t="s">
        <v>33</v>
      </c>
      <c r="D157" s="467"/>
      <c r="E157" s="467">
        <v>0</v>
      </c>
      <c r="F157" s="467">
        <f t="shared" si="85"/>
        <v>0</v>
      </c>
      <c r="G157" s="468"/>
      <c r="H157" s="467">
        <v>0</v>
      </c>
      <c r="I157" s="467">
        <f t="shared" si="86"/>
        <v>0</v>
      </c>
      <c r="J157" s="468"/>
      <c r="K157" s="467"/>
      <c r="L157" s="467">
        <f t="shared" si="87"/>
        <v>0</v>
      </c>
      <c r="M157" s="468"/>
      <c r="N157" s="468"/>
      <c r="O157" s="468"/>
      <c r="P157" s="468"/>
      <c r="Q157" s="468"/>
    </row>
    <row r="158" spans="2:17" x14ac:dyDescent="0.3">
      <c r="B158" s="101"/>
      <c r="C158" s="446"/>
      <c r="D158" s="467"/>
      <c r="E158" s="467"/>
      <c r="F158" s="467"/>
      <c r="G158" s="468"/>
      <c r="H158" s="467"/>
      <c r="I158" s="467"/>
      <c r="J158" s="468"/>
      <c r="K158" s="467"/>
      <c r="L158" s="467"/>
      <c r="M158" s="468"/>
      <c r="N158" s="468"/>
      <c r="O158" s="468"/>
      <c r="P158" s="468"/>
      <c r="Q158" s="468"/>
    </row>
    <row r="159" spans="2:17" x14ac:dyDescent="0.3">
      <c r="B159" s="101">
        <v>3</v>
      </c>
      <c r="C159" s="610" t="s">
        <v>1416</v>
      </c>
      <c r="D159" s="467"/>
      <c r="E159" s="467"/>
      <c r="F159" s="467"/>
      <c r="G159" s="468"/>
      <c r="H159" s="467"/>
      <c r="I159" s="467"/>
      <c r="J159" s="468"/>
      <c r="K159" s="467"/>
      <c r="L159" s="467"/>
      <c r="M159" s="468"/>
      <c r="N159" s="468"/>
      <c r="O159" s="468"/>
      <c r="P159" s="468"/>
      <c r="Q159" s="468"/>
    </row>
    <row r="160" spans="2:17" x14ac:dyDescent="0.3">
      <c r="B160" s="101">
        <f>B159+0.1</f>
        <v>3.1</v>
      </c>
      <c r="C160" s="446" t="s">
        <v>29</v>
      </c>
      <c r="D160" s="467"/>
      <c r="E160" s="467">
        <v>25.446672969000002</v>
      </c>
      <c r="F160" s="467">
        <f t="shared" ref="F160:F167" si="90">E160-D160</f>
        <v>25.446672969000002</v>
      </c>
      <c r="G160" s="468"/>
      <c r="H160" s="467">
        <v>23.535572969</v>
      </c>
      <c r="I160" s="467">
        <f t="shared" ref="I160:I167" si="91">H160-G160</f>
        <v>23.535572969</v>
      </c>
      <c r="J160" s="468"/>
      <c r="K160" s="467"/>
      <c r="L160" s="467">
        <f t="shared" ref="L160:L167" si="92">K160-J160</f>
        <v>0</v>
      </c>
      <c r="M160" s="468"/>
      <c r="N160" s="468"/>
      <c r="O160" s="468"/>
      <c r="P160" s="468"/>
      <c r="Q160" s="468"/>
    </row>
    <row r="161" spans="2:17" x14ac:dyDescent="0.3">
      <c r="B161" s="101">
        <f t="shared" ref="B161:B167" si="93">B160+0.1</f>
        <v>3.2</v>
      </c>
      <c r="C161" s="446" t="s">
        <v>405</v>
      </c>
      <c r="D161" s="467"/>
      <c r="E161" s="467">
        <v>0</v>
      </c>
      <c r="F161" s="467">
        <f t="shared" si="90"/>
        <v>0</v>
      </c>
      <c r="G161" s="468"/>
      <c r="H161" s="467">
        <v>0</v>
      </c>
      <c r="I161" s="467">
        <f t="shared" si="91"/>
        <v>0</v>
      </c>
      <c r="J161" s="468"/>
      <c r="K161" s="467"/>
      <c r="L161" s="467">
        <f t="shared" si="92"/>
        <v>0</v>
      </c>
      <c r="M161" s="468"/>
      <c r="N161" s="468"/>
      <c r="O161" s="468"/>
      <c r="P161" s="468"/>
      <c r="Q161" s="468"/>
    </row>
    <row r="162" spans="2:17" x14ac:dyDescent="0.3">
      <c r="B162" s="101">
        <f t="shared" si="93"/>
        <v>3.3000000000000003</v>
      </c>
      <c r="C162" s="446" t="s">
        <v>345</v>
      </c>
      <c r="D162" s="467"/>
      <c r="E162" s="467">
        <v>0</v>
      </c>
      <c r="F162" s="467">
        <f t="shared" si="90"/>
        <v>0</v>
      </c>
      <c r="G162" s="468"/>
      <c r="H162" s="467">
        <v>0</v>
      </c>
      <c r="I162" s="467">
        <f t="shared" si="91"/>
        <v>0</v>
      </c>
      <c r="J162" s="468"/>
      <c r="K162" s="467"/>
      <c r="L162" s="467">
        <f t="shared" si="92"/>
        <v>0</v>
      </c>
      <c r="M162" s="468"/>
      <c r="N162" s="468"/>
      <c r="O162" s="468"/>
      <c r="P162" s="468"/>
      <c r="Q162" s="468"/>
    </row>
    <row r="163" spans="2:17" x14ac:dyDescent="0.3">
      <c r="B163" s="101">
        <f t="shared" si="93"/>
        <v>3.4000000000000004</v>
      </c>
      <c r="C163" s="446" t="s">
        <v>30</v>
      </c>
      <c r="D163" s="467"/>
      <c r="E163" s="467">
        <v>1.9111000000000002</v>
      </c>
      <c r="F163" s="467">
        <f t="shared" si="90"/>
        <v>1.9111000000000002</v>
      </c>
      <c r="G163" s="468"/>
      <c r="H163" s="467">
        <v>2.9214821870000005</v>
      </c>
      <c r="I163" s="467">
        <f t="shared" si="91"/>
        <v>2.9214821870000005</v>
      </c>
      <c r="J163" s="468"/>
      <c r="K163" s="467"/>
      <c r="L163" s="467">
        <f t="shared" si="92"/>
        <v>0</v>
      </c>
      <c r="M163" s="468"/>
      <c r="N163" s="468"/>
      <c r="O163" s="468"/>
      <c r="P163" s="468"/>
      <c r="Q163" s="468"/>
    </row>
    <row r="164" spans="2:17" x14ac:dyDescent="0.3">
      <c r="B164" s="101">
        <f t="shared" si="93"/>
        <v>3.5000000000000004</v>
      </c>
      <c r="C164" s="446" t="s">
        <v>31</v>
      </c>
      <c r="D164" s="467"/>
      <c r="E164" s="467">
        <f>+E160-E161+E162-E163</f>
        <v>23.535572969</v>
      </c>
      <c r="F164" s="467">
        <f t="shared" si="90"/>
        <v>23.535572969</v>
      </c>
      <c r="G164" s="468"/>
      <c r="H164" s="467">
        <f>+H160-H161+H162-H163</f>
        <v>20.614090781999998</v>
      </c>
      <c r="I164" s="467">
        <f t="shared" si="91"/>
        <v>20.614090781999998</v>
      </c>
      <c r="J164" s="468"/>
      <c r="K164" s="468">
        <f>+J160-J161+J162-J163</f>
        <v>0</v>
      </c>
      <c r="L164" s="467">
        <f t="shared" si="92"/>
        <v>0</v>
      </c>
      <c r="M164" s="468"/>
      <c r="N164" s="468"/>
      <c r="O164" s="468"/>
      <c r="P164" s="468"/>
      <c r="Q164" s="468"/>
    </row>
    <row r="165" spans="2:17" x14ac:dyDescent="0.3">
      <c r="B165" s="101">
        <f t="shared" si="93"/>
        <v>3.6000000000000005</v>
      </c>
      <c r="C165" s="446" t="s">
        <v>483</v>
      </c>
      <c r="D165" s="467"/>
      <c r="E165" s="395">
        <f t="shared" ref="E165" si="94">AVERAGE(E160,E164)</f>
        <v>24.491122969000003</v>
      </c>
      <c r="F165" s="467">
        <f t="shared" si="90"/>
        <v>24.491122969000003</v>
      </c>
      <c r="G165" s="468"/>
      <c r="H165" s="395">
        <f t="shared" ref="H165" si="95">AVERAGE(H160,H164)</f>
        <v>22.074831875499999</v>
      </c>
      <c r="I165" s="467">
        <f t="shared" si="91"/>
        <v>22.074831875499999</v>
      </c>
      <c r="J165" s="468"/>
      <c r="K165" s="467"/>
      <c r="L165" s="467">
        <f t="shared" si="92"/>
        <v>0</v>
      </c>
      <c r="M165" s="468"/>
      <c r="N165" s="468"/>
      <c r="O165" s="468"/>
      <c r="P165" s="468"/>
      <c r="Q165" s="468"/>
    </row>
    <row r="166" spans="2:17" x14ac:dyDescent="0.3">
      <c r="B166" s="101">
        <f t="shared" si="93"/>
        <v>3.7000000000000006</v>
      </c>
      <c r="C166" s="446" t="s">
        <v>32</v>
      </c>
      <c r="D166" s="467"/>
      <c r="E166" s="467">
        <f>IFERROR(E167/E165,0)</f>
        <v>0.10594450908944764</v>
      </c>
      <c r="F166" s="467">
        <f>IFERROR(F167/F165,0)</f>
        <v>0.10594450908944764</v>
      </c>
      <c r="G166" s="468"/>
      <c r="H166" s="467">
        <f>IFERROR(H167/H165,0)</f>
        <v>0.106569419184466</v>
      </c>
      <c r="I166" s="467">
        <f>I167/I165</f>
        <v>0.106569419184466</v>
      </c>
      <c r="J166" s="468"/>
      <c r="K166" s="468" t="e">
        <f>J167/K165</f>
        <v>#DIV/0!</v>
      </c>
      <c r="L166" s="467" t="e">
        <f>L167/L165</f>
        <v>#DIV/0!</v>
      </c>
      <c r="M166" s="468"/>
      <c r="N166" s="468"/>
      <c r="O166" s="468"/>
      <c r="P166" s="468"/>
      <c r="Q166" s="468"/>
    </row>
    <row r="167" spans="2:17" x14ac:dyDescent="0.3">
      <c r="B167" s="101">
        <f t="shared" si="93"/>
        <v>3.8000000000000007</v>
      </c>
      <c r="C167" s="446" t="s">
        <v>33</v>
      </c>
      <c r="D167" s="467"/>
      <c r="E167" s="467">
        <v>2.5947000000000005</v>
      </c>
      <c r="F167" s="467">
        <f t="shared" si="90"/>
        <v>2.5947000000000005</v>
      </c>
      <c r="G167" s="468"/>
      <c r="H167" s="467">
        <v>2.352502011566771</v>
      </c>
      <c r="I167" s="467">
        <f t="shared" si="91"/>
        <v>2.352502011566771</v>
      </c>
      <c r="J167" s="468"/>
      <c r="K167" s="467"/>
      <c r="L167" s="467">
        <f t="shared" si="92"/>
        <v>0</v>
      </c>
      <c r="M167" s="468"/>
      <c r="N167" s="468"/>
      <c r="O167" s="468"/>
      <c r="P167" s="468"/>
      <c r="Q167" s="468"/>
    </row>
    <row r="168" spans="2:17" x14ac:dyDescent="0.3">
      <c r="B168" s="101"/>
      <c r="C168" s="446"/>
      <c r="D168" s="467"/>
      <c r="E168" s="467"/>
      <c r="F168" s="467"/>
      <c r="G168" s="468"/>
      <c r="H168" s="467"/>
      <c r="I168" s="467"/>
      <c r="J168" s="468"/>
      <c r="K168" s="467"/>
      <c r="L168" s="467"/>
      <c r="M168" s="468"/>
      <c r="N168" s="468"/>
      <c r="O168" s="468"/>
      <c r="P168" s="468"/>
      <c r="Q168" s="468"/>
    </row>
    <row r="169" spans="2:17" x14ac:dyDescent="0.3">
      <c r="B169" s="101">
        <v>4</v>
      </c>
      <c r="C169" s="610" t="s">
        <v>1417</v>
      </c>
      <c r="D169" s="467"/>
      <c r="E169" s="467"/>
      <c r="F169" s="467"/>
      <c r="G169" s="468"/>
      <c r="H169" s="467"/>
      <c r="I169" s="467"/>
      <c r="J169" s="468"/>
      <c r="K169" s="467"/>
      <c r="L169" s="467"/>
      <c r="M169" s="468"/>
      <c r="N169" s="468"/>
      <c r="O169" s="468"/>
      <c r="P169" s="468"/>
      <c r="Q169" s="468"/>
    </row>
    <row r="170" spans="2:17" x14ac:dyDescent="0.3">
      <c r="B170" s="101">
        <f>B169+0.1</f>
        <v>4.0999999999999996</v>
      </c>
      <c r="C170" s="446" t="s">
        <v>29</v>
      </c>
      <c r="D170" s="467"/>
      <c r="E170" s="467">
        <v>0</v>
      </c>
      <c r="F170" s="467">
        <f t="shared" ref="F170:F177" si="96">E170-D170</f>
        <v>0</v>
      </c>
      <c r="G170" s="468"/>
      <c r="H170" s="467">
        <v>0</v>
      </c>
      <c r="I170" s="467">
        <f t="shared" ref="I170:I177" si="97">H170-G170</f>
        <v>0</v>
      </c>
      <c r="J170" s="468"/>
      <c r="K170" s="467"/>
      <c r="L170" s="467">
        <f t="shared" ref="L170:L177" si="98">K170-J170</f>
        <v>0</v>
      </c>
      <c r="M170" s="468"/>
      <c r="N170" s="468"/>
      <c r="O170" s="468"/>
      <c r="P170" s="468"/>
      <c r="Q170" s="468"/>
    </row>
    <row r="171" spans="2:17" x14ac:dyDescent="0.3">
      <c r="B171" s="101">
        <f t="shared" ref="B171:B177" si="99">B170+0.1</f>
        <v>4.1999999999999993</v>
      </c>
      <c r="C171" s="446" t="s">
        <v>405</v>
      </c>
      <c r="D171" s="467"/>
      <c r="E171" s="467">
        <v>0</v>
      </c>
      <c r="F171" s="467">
        <f t="shared" si="96"/>
        <v>0</v>
      </c>
      <c r="G171" s="468"/>
      <c r="H171" s="467">
        <v>0</v>
      </c>
      <c r="I171" s="467">
        <f t="shared" si="97"/>
        <v>0</v>
      </c>
      <c r="J171" s="468"/>
      <c r="K171" s="467"/>
      <c r="L171" s="467">
        <f t="shared" si="98"/>
        <v>0</v>
      </c>
      <c r="M171" s="468"/>
      <c r="N171" s="468"/>
      <c r="O171" s="468"/>
      <c r="P171" s="468"/>
      <c r="Q171" s="468"/>
    </row>
    <row r="172" spans="2:17" x14ac:dyDescent="0.3">
      <c r="B172" s="101">
        <f t="shared" si="99"/>
        <v>4.2999999999999989</v>
      </c>
      <c r="C172" s="446" t="s">
        <v>345</v>
      </c>
      <c r="D172" s="467"/>
      <c r="E172" s="467">
        <v>0</v>
      </c>
      <c r="F172" s="467">
        <f t="shared" si="96"/>
        <v>0</v>
      </c>
      <c r="G172" s="468"/>
      <c r="H172" s="467">
        <v>0</v>
      </c>
      <c r="I172" s="467">
        <f t="shared" si="97"/>
        <v>0</v>
      </c>
      <c r="J172" s="468"/>
      <c r="K172" s="467"/>
      <c r="L172" s="467">
        <f t="shared" si="98"/>
        <v>0</v>
      </c>
      <c r="M172" s="468"/>
      <c r="N172" s="468"/>
      <c r="O172" s="468"/>
      <c r="P172" s="468"/>
      <c r="Q172" s="468"/>
    </row>
    <row r="173" spans="2:17" x14ac:dyDescent="0.3">
      <c r="B173" s="101">
        <f t="shared" si="99"/>
        <v>4.3999999999999986</v>
      </c>
      <c r="C173" s="446" t="s">
        <v>30</v>
      </c>
      <c r="D173" s="467"/>
      <c r="E173" s="467">
        <v>0</v>
      </c>
      <c r="F173" s="467">
        <f t="shared" si="96"/>
        <v>0</v>
      </c>
      <c r="G173" s="468"/>
      <c r="H173" s="467">
        <v>0</v>
      </c>
      <c r="I173" s="467">
        <f t="shared" si="97"/>
        <v>0</v>
      </c>
      <c r="J173" s="468"/>
      <c r="K173" s="467"/>
      <c r="L173" s="467">
        <f t="shared" si="98"/>
        <v>0</v>
      </c>
      <c r="M173" s="468"/>
      <c r="N173" s="468"/>
      <c r="O173" s="468"/>
      <c r="P173" s="468"/>
      <c r="Q173" s="468"/>
    </row>
    <row r="174" spans="2:17" x14ac:dyDescent="0.3">
      <c r="B174" s="101">
        <f t="shared" si="99"/>
        <v>4.4999999999999982</v>
      </c>
      <c r="C174" s="446" t="s">
        <v>31</v>
      </c>
      <c r="D174" s="467"/>
      <c r="E174" s="467">
        <f>+E170-E171+E172-E173</f>
        <v>0</v>
      </c>
      <c r="F174" s="467">
        <f t="shared" si="96"/>
        <v>0</v>
      </c>
      <c r="G174" s="468"/>
      <c r="H174" s="467">
        <f>+H170-H171+H172-H173</f>
        <v>0</v>
      </c>
      <c r="I174" s="467">
        <f t="shared" si="97"/>
        <v>0</v>
      </c>
      <c r="J174" s="468"/>
      <c r="K174" s="468">
        <f>+J170-J171+J172-J173</f>
        <v>0</v>
      </c>
      <c r="L174" s="467">
        <f t="shared" si="98"/>
        <v>0</v>
      </c>
      <c r="M174" s="468"/>
      <c r="N174" s="468"/>
      <c r="O174" s="468"/>
      <c r="P174" s="468"/>
      <c r="Q174" s="468"/>
    </row>
    <row r="175" spans="2:17" x14ac:dyDescent="0.3">
      <c r="B175" s="101">
        <f t="shared" si="99"/>
        <v>4.5999999999999979</v>
      </c>
      <c r="C175" s="446" t="s">
        <v>483</v>
      </c>
      <c r="D175" s="467"/>
      <c r="E175" s="395">
        <f t="shared" ref="E175" si="100">AVERAGE(E170,E174)</f>
        <v>0</v>
      </c>
      <c r="F175" s="467">
        <f t="shared" si="96"/>
        <v>0</v>
      </c>
      <c r="G175" s="468"/>
      <c r="H175" s="395">
        <f t="shared" ref="H175" si="101">AVERAGE(H170,H174)</f>
        <v>0</v>
      </c>
      <c r="I175" s="467">
        <f t="shared" si="97"/>
        <v>0</v>
      </c>
      <c r="J175" s="468"/>
      <c r="K175" s="467"/>
      <c r="L175" s="467">
        <f t="shared" si="98"/>
        <v>0</v>
      </c>
      <c r="M175" s="468"/>
      <c r="N175" s="468"/>
      <c r="O175" s="468"/>
      <c r="P175" s="468"/>
      <c r="Q175" s="468"/>
    </row>
    <row r="176" spans="2:17" x14ac:dyDescent="0.3">
      <c r="B176" s="101">
        <f t="shared" si="99"/>
        <v>4.6999999999999975</v>
      </c>
      <c r="C176" s="446" t="s">
        <v>32</v>
      </c>
      <c r="D176" s="467"/>
      <c r="E176" s="467">
        <f>IFERROR(E177/E175,0)</f>
        <v>0</v>
      </c>
      <c r="F176" s="467">
        <f>IFERROR(F177/F175,0)</f>
        <v>0</v>
      </c>
      <c r="G176" s="468"/>
      <c r="H176" s="467">
        <f>IFERROR(H177/H175,0)</f>
        <v>0</v>
      </c>
      <c r="I176" s="467" t="e">
        <f>I177/I175</f>
        <v>#DIV/0!</v>
      </c>
      <c r="J176" s="468"/>
      <c r="K176" s="468" t="e">
        <f>J177/K175</f>
        <v>#DIV/0!</v>
      </c>
      <c r="L176" s="467" t="e">
        <f>L177/L175</f>
        <v>#DIV/0!</v>
      </c>
      <c r="M176" s="468"/>
      <c r="N176" s="468"/>
      <c r="O176" s="468"/>
      <c r="P176" s="468"/>
      <c r="Q176" s="468"/>
    </row>
    <row r="177" spans="2:17" x14ac:dyDescent="0.3">
      <c r="B177" s="101">
        <f t="shared" si="99"/>
        <v>4.7999999999999972</v>
      </c>
      <c r="C177" s="446" t="s">
        <v>33</v>
      </c>
      <c r="D177" s="467"/>
      <c r="E177" s="467">
        <v>0</v>
      </c>
      <c r="F177" s="467">
        <f t="shared" si="96"/>
        <v>0</v>
      </c>
      <c r="G177" s="468"/>
      <c r="H177" s="467">
        <v>0</v>
      </c>
      <c r="I177" s="467">
        <f t="shared" si="97"/>
        <v>0</v>
      </c>
      <c r="J177" s="468"/>
      <c r="K177" s="467"/>
      <c r="L177" s="467">
        <f t="shared" si="98"/>
        <v>0</v>
      </c>
      <c r="M177" s="468"/>
      <c r="N177" s="468"/>
      <c r="O177" s="468"/>
      <c r="P177" s="468"/>
      <c r="Q177" s="468"/>
    </row>
    <row r="178" spans="2:17" x14ac:dyDescent="0.3">
      <c r="B178" s="101"/>
      <c r="C178" s="446"/>
      <c r="D178" s="467"/>
      <c r="E178" s="467"/>
      <c r="F178" s="467"/>
      <c r="G178" s="468"/>
      <c r="H178" s="467"/>
      <c r="I178" s="467"/>
      <c r="J178" s="468"/>
      <c r="K178" s="467"/>
      <c r="L178" s="467"/>
      <c r="M178" s="468"/>
      <c r="N178" s="468"/>
      <c r="O178" s="468"/>
      <c r="P178" s="468"/>
      <c r="Q178" s="468"/>
    </row>
    <row r="179" spans="2:17" x14ac:dyDescent="0.3">
      <c r="B179" s="101">
        <v>5</v>
      </c>
      <c r="C179" s="610" t="s">
        <v>1424</v>
      </c>
      <c r="D179" s="467"/>
      <c r="E179" s="467"/>
      <c r="F179" s="467"/>
      <c r="G179" s="468"/>
      <c r="H179" s="467"/>
      <c r="I179" s="467"/>
      <c r="J179" s="468"/>
      <c r="K179" s="467"/>
      <c r="L179" s="467"/>
      <c r="M179" s="468"/>
      <c r="N179" s="468"/>
      <c r="O179" s="468"/>
      <c r="P179" s="468"/>
      <c r="Q179" s="468"/>
    </row>
    <row r="180" spans="2:17" x14ac:dyDescent="0.3">
      <c r="B180" s="101">
        <f>B179+0.1</f>
        <v>5.0999999999999996</v>
      </c>
      <c r="C180" s="446" t="s">
        <v>29</v>
      </c>
      <c r="D180" s="467"/>
      <c r="E180" s="467">
        <v>2.2154902808974464E-2</v>
      </c>
      <c r="F180" s="467">
        <f t="shared" ref="F180:F187" si="102">E180-D180</f>
        <v>2.2154902808974464E-2</v>
      </c>
      <c r="G180" s="468"/>
      <c r="H180" s="467">
        <v>2.8089744663617465E-9</v>
      </c>
      <c r="I180" s="467">
        <f t="shared" ref="I180:I187" si="103">H180-G180</f>
        <v>2.8089744663617465E-9</v>
      </c>
      <c r="J180" s="468"/>
      <c r="K180" s="467"/>
      <c r="L180" s="467">
        <f t="shared" ref="L180:L187" si="104">K180-J180</f>
        <v>0</v>
      </c>
      <c r="M180" s="468"/>
      <c r="N180" s="468"/>
      <c r="O180" s="468"/>
      <c r="P180" s="468"/>
      <c r="Q180" s="468"/>
    </row>
    <row r="181" spans="2:17" x14ac:dyDescent="0.3">
      <c r="B181" s="101">
        <f t="shared" ref="B181:B187" si="105">B180+0.1</f>
        <v>5.1999999999999993</v>
      </c>
      <c r="C181" s="446" t="s">
        <v>405</v>
      </c>
      <c r="D181" s="467"/>
      <c r="E181" s="467">
        <v>0</v>
      </c>
      <c r="F181" s="467">
        <f t="shared" si="102"/>
        <v>0</v>
      </c>
      <c r="G181" s="468"/>
      <c r="H181" s="467">
        <v>0</v>
      </c>
      <c r="I181" s="467">
        <f t="shared" si="103"/>
        <v>0</v>
      </c>
      <c r="J181" s="468"/>
      <c r="K181" s="467"/>
      <c r="L181" s="467">
        <f t="shared" si="104"/>
        <v>0</v>
      </c>
      <c r="M181" s="468"/>
      <c r="N181" s="468"/>
      <c r="O181" s="468"/>
      <c r="P181" s="468"/>
      <c r="Q181" s="468"/>
    </row>
    <row r="182" spans="2:17" x14ac:dyDescent="0.3">
      <c r="B182" s="101">
        <f t="shared" si="105"/>
        <v>5.2999999999999989</v>
      </c>
      <c r="C182" s="446" t="s">
        <v>345</v>
      </c>
      <c r="D182" s="467"/>
      <c r="E182" s="467">
        <v>0</v>
      </c>
      <c r="F182" s="467">
        <f t="shared" si="102"/>
        <v>0</v>
      </c>
      <c r="G182" s="468"/>
      <c r="H182" s="467">
        <v>0</v>
      </c>
      <c r="I182" s="467">
        <f t="shared" si="103"/>
        <v>0</v>
      </c>
      <c r="J182" s="468"/>
      <c r="K182" s="467"/>
      <c r="L182" s="467">
        <f t="shared" si="104"/>
        <v>0</v>
      </c>
      <c r="M182" s="468"/>
      <c r="N182" s="468"/>
      <c r="O182" s="468"/>
      <c r="P182" s="468"/>
      <c r="Q182" s="468"/>
    </row>
    <row r="183" spans="2:17" x14ac:dyDescent="0.3">
      <c r="B183" s="101">
        <f t="shared" si="105"/>
        <v>5.3999999999999986</v>
      </c>
      <c r="C183" s="446" t="s">
        <v>30</v>
      </c>
      <c r="D183" s="467"/>
      <c r="E183" s="467">
        <v>2.2154899999999998E-2</v>
      </c>
      <c r="F183" s="467">
        <f t="shared" si="102"/>
        <v>2.2154899999999998E-2</v>
      </c>
      <c r="G183" s="468"/>
      <c r="H183" s="467">
        <v>0</v>
      </c>
      <c r="I183" s="467">
        <f t="shared" si="103"/>
        <v>0</v>
      </c>
      <c r="J183" s="468"/>
      <c r="K183" s="467"/>
      <c r="L183" s="467">
        <f t="shared" si="104"/>
        <v>0</v>
      </c>
      <c r="M183" s="468"/>
      <c r="N183" s="468"/>
      <c r="O183" s="468"/>
      <c r="P183" s="468"/>
      <c r="Q183" s="468"/>
    </row>
    <row r="184" spans="2:17" x14ac:dyDescent="0.3">
      <c r="B184" s="101">
        <f t="shared" si="105"/>
        <v>5.4999999999999982</v>
      </c>
      <c r="C184" s="446" t="s">
        <v>31</v>
      </c>
      <c r="D184" s="467"/>
      <c r="E184" s="467">
        <f>+E180-E181+E182-E183</f>
        <v>2.8089744662229688E-9</v>
      </c>
      <c r="F184" s="467">
        <f t="shared" si="102"/>
        <v>2.8089744662229688E-9</v>
      </c>
      <c r="G184" s="468"/>
      <c r="H184" s="467">
        <f>+H180-H181+H182-H183</f>
        <v>2.8089744663617465E-9</v>
      </c>
      <c r="I184" s="467">
        <f t="shared" si="103"/>
        <v>2.8089744663617465E-9</v>
      </c>
      <c r="J184" s="468"/>
      <c r="K184" s="468">
        <f>+J180-J181+J182-J183</f>
        <v>0</v>
      </c>
      <c r="L184" s="467">
        <f t="shared" si="104"/>
        <v>0</v>
      </c>
      <c r="M184" s="468"/>
      <c r="N184" s="468"/>
      <c r="O184" s="468"/>
      <c r="P184" s="468"/>
      <c r="Q184" s="468"/>
    </row>
    <row r="185" spans="2:17" x14ac:dyDescent="0.3">
      <c r="B185" s="101">
        <f t="shared" si="105"/>
        <v>5.5999999999999979</v>
      </c>
      <c r="C185" s="446" t="s">
        <v>483</v>
      </c>
      <c r="D185" s="467"/>
      <c r="E185" s="395">
        <f t="shared" ref="E185" si="106">AVERAGE(E180,E184)</f>
        <v>1.1077452808974465E-2</v>
      </c>
      <c r="F185" s="467">
        <f t="shared" si="102"/>
        <v>1.1077452808974465E-2</v>
      </c>
      <c r="G185" s="468"/>
      <c r="H185" s="395">
        <f t="shared" ref="H185" si="107">AVERAGE(H180,H184)</f>
        <v>2.8089744663617465E-9</v>
      </c>
      <c r="I185" s="467">
        <f t="shared" si="103"/>
        <v>2.8089744663617465E-9</v>
      </c>
      <c r="J185" s="468"/>
      <c r="K185" s="467"/>
      <c r="L185" s="467">
        <f t="shared" si="104"/>
        <v>0</v>
      </c>
      <c r="M185" s="468"/>
      <c r="N185" s="468"/>
      <c r="O185" s="468"/>
      <c r="P185" s="468"/>
      <c r="Q185" s="468"/>
    </row>
    <row r="186" spans="2:17" x14ac:dyDescent="0.3">
      <c r="B186" s="101">
        <f t="shared" si="105"/>
        <v>5.6999999999999975</v>
      </c>
      <c r="C186" s="446" t="s">
        <v>32</v>
      </c>
      <c r="D186" s="467"/>
      <c r="E186" s="467">
        <f>IFERROR(E187/E185,0)</f>
        <v>1.9048181301504999E-2</v>
      </c>
      <c r="F186" s="467">
        <f>IFERROR(F187/F185,0)</f>
        <v>1.9048181301504999E-2</v>
      </c>
      <c r="G186" s="468"/>
      <c r="H186" s="467">
        <f>IFERROR(H187/H185,0)</f>
        <v>0</v>
      </c>
      <c r="I186" s="467">
        <f>I187/I185</f>
        <v>0</v>
      </c>
      <c r="J186" s="468"/>
      <c r="K186" s="468" t="e">
        <f>J187/K185</f>
        <v>#DIV/0!</v>
      </c>
      <c r="L186" s="467" t="e">
        <f>L187/L185</f>
        <v>#DIV/0!</v>
      </c>
      <c r="M186" s="468"/>
      <c r="N186" s="468"/>
      <c r="O186" s="468"/>
      <c r="P186" s="468"/>
      <c r="Q186" s="468"/>
    </row>
    <row r="187" spans="2:17" x14ac:dyDescent="0.3">
      <c r="B187" s="101">
        <f t="shared" si="105"/>
        <v>5.7999999999999972</v>
      </c>
      <c r="C187" s="446" t="s">
        <v>33</v>
      </c>
      <c r="D187" s="467"/>
      <c r="E187" s="467">
        <v>2.1100532946421142E-4</v>
      </c>
      <c r="F187" s="467">
        <f t="shared" si="102"/>
        <v>2.1100532946421142E-4</v>
      </c>
      <c r="G187" s="468"/>
      <c r="H187" s="467">
        <v>0</v>
      </c>
      <c r="I187" s="467">
        <f t="shared" si="103"/>
        <v>0</v>
      </c>
      <c r="J187" s="468"/>
      <c r="K187" s="467"/>
      <c r="L187" s="467">
        <f t="shared" si="104"/>
        <v>0</v>
      </c>
      <c r="M187" s="468"/>
      <c r="N187" s="468"/>
      <c r="O187" s="468"/>
      <c r="P187" s="468"/>
      <c r="Q187" s="468"/>
    </row>
    <row r="188" spans="2:17" x14ac:dyDescent="0.3">
      <c r="B188" s="101"/>
      <c r="C188" s="446"/>
      <c r="D188" s="467"/>
      <c r="E188" s="467"/>
      <c r="F188" s="467"/>
      <c r="G188" s="468"/>
      <c r="H188" s="467"/>
      <c r="I188" s="467"/>
      <c r="J188" s="468"/>
      <c r="K188" s="467"/>
      <c r="L188" s="467"/>
      <c r="M188" s="468"/>
      <c r="N188" s="468"/>
      <c r="O188" s="468"/>
      <c r="P188" s="468"/>
      <c r="Q188" s="468"/>
    </row>
    <row r="189" spans="2:17" x14ac:dyDescent="0.3">
      <c r="B189" s="101">
        <v>6</v>
      </c>
      <c r="C189" s="610" t="s">
        <v>1425</v>
      </c>
      <c r="D189" s="467"/>
      <c r="E189" s="467"/>
      <c r="F189" s="467"/>
      <c r="G189" s="468"/>
      <c r="H189" s="467"/>
      <c r="I189" s="467"/>
      <c r="J189" s="468"/>
      <c r="K189" s="467"/>
      <c r="L189" s="467"/>
      <c r="M189" s="468"/>
      <c r="N189" s="468"/>
      <c r="O189" s="468"/>
      <c r="P189" s="468"/>
      <c r="Q189" s="468"/>
    </row>
    <row r="190" spans="2:17" x14ac:dyDescent="0.3">
      <c r="B190" s="101">
        <f>B189+0.1</f>
        <v>6.1</v>
      </c>
      <c r="C190" s="446" t="s">
        <v>29</v>
      </c>
      <c r="D190" s="467"/>
      <c r="E190" s="467">
        <v>0</v>
      </c>
      <c r="F190" s="467">
        <f t="shared" ref="F190:F197" si="108">E190-D190</f>
        <v>0</v>
      </c>
      <c r="G190" s="468"/>
      <c r="H190" s="467">
        <v>0</v>
      </c>
      <c r="I190" s="467">
        <f t="shared" ref="I190:I197" si="109">H190-G190</f>
        <v>0</v>
      </c>
      <c r="J190" s="468"/>
      <c r="K190" s="467"/>
      <c r="L190" s="467">
        <f t="shared" ref="L190:L197" si="110">K190-J190</f>
        <v>0</v>
      </c>
      <c r="M190" s="468"/>
      <c r="N190" s="468"/>
      <c r="O190" s="468"/>
      <c r="P190" s="468"/>
      <c r="Q190" s="468"/>
    </row>
    <row r="191" spans="2:17" x14ac:dyDescent="0.3">
      <c r="B191" s="101">
        <f t="shared" ref="B191:B197" si="111">B190+0.1</f>
        <v>6.1999999999999993</v>
      </c>
      <c r="C191" s="446" t="s">
        <v>405</v>
      </c>
      <c r="D191" s="467"/>
      <c r="E191" s="467">
        <v>0</v>
      </c>
      <c r="F191" s="467">
        <f t="shared" si="108"/>
        <v>0</v>
      </c>
      <c r="G191" s="468"/>
      <c r="H191" s="467">
        <v>0</v>
      </c>
      <c r="I191" s="467">
        <f t="shared" si="109"/>
        <v>0</v>
      </c>
      <c r="J191" s="468"/>
      <c r="K191" s="467"/>
      <c r="L191" s="467">
        <f t="shared" si="110"/>
        <v>0</v>
      </c>
      <c r="M191" s="468"/>
      <c r="N191" s="468"/>
      <c r="O191" s="468"/>
      <c r="P191" s="468"/>
      <c r="Q191" s="468"/>
    </row>
    <row r="192" spans="2:17" x14ac:dyDescent="0.3">
      <c r="B192" s="101">
        <f t="shared" si="111"/>
        <v>6.2999999999999989</v>
      </c>
      <c r="C192" s="446" t="s">
        <v>345</v>
      </c>
      <c r="D192" s="467"/>
      <c r="E192" s="467">
        <v>0</v>
      </c>
      <c r="F192" s="467">
        <f t="shared" si="108"/>
        <v>0</v>
      </c>
      <c r="G192" s="468"/>
      <c r="H192" s="467">
        <v>0</v>
      </c>
      <c r="I192" s="467">
        <f t="shared" si="109"/>
        <v>0</v>
      </c>
      <c r="J192" s="468"/>
      <c r="K192" s="467"/>
      <c r="L192" s="467">
        <f t="shared" si="110"/>
        <v>0</v>
      </c>
      <c r="M192" s="468"/>
      <c r="N192" s="468"/>
      <c r="O192" s="468"/>
      <c r="P192" s="468"/>
      <c r="Q192" s="468"/>
    </row>
    <row r="193" spans="2:17" x14ac:dyDescent="0.3">
      <c r="B193" s="101">
        <f t="shared" si="111"/>
        <v>6.3999999999999986</v>
      </c>
      <c r="C193" s="446" t="s">
        <v>30</v>
      </c>
      <c r="D193" s="467"/>
      <c r="E193" s="467">
        <v>0</v>
      </c>
      <c r="F193" s="467">
        <f t="shared" si="108"/>
        <v>0</v>
      </c>
      <c r="G193" s="468"/>
      <c r="H193" s="467">
        <v>0</v>
      </c>
      <c r="I193" s="467">
        <f t="shared" si="109"/>
        <v>0</v>
      </c>
      <c r="J193" s="468"/>
      <c r="K193" s="467"/>
      <c r="L193" s="467">
        <f t="shared" si="110"/>
        <v>0</v>
      </c>
      <c r="M193" s="468"/>
      <c r="N193" s="468"/>
      <c r="O193" s="468"/>
      <c r="P193" s="468"/>
      <c r="Q193" s="468"/>
    </row>
    <row r="194" spans="2:17" x14ac:dyDescent="0.3">
      <c r="B194" s="101">
        <f t="shared" si="111"/>
        <v>6.4999999999999982</v>
      </c>
      <c r="C194" s="446" t="s">
        <v>31</v>
      </c>
      <c r="D194" s="467"/>
      <c r="E194" s="467">
        <f>+E190-E191+E192-E193</f>
        <v>0</v>
      </c>
      <c r="F194" s="467">
        <f t="shared" si="108"/>
        <v>0</v>
      </c>
      <c r="G194" s="468"/>
      <c r="H194" s="467">
        <f>+H190-H191+H192-H193</f>
        <v>0</v>
      </c>
      <c r="I194" s="467">
        <f t="shared" si="109"/>
        <v>0</v>
      </c>
      <c r="J194" s="468"/>
      <c r="K194" s="468">
        <f>+J190-J191+J192-J193</f>
        <v>0</v>
      </c>
      <c r="L194" s="467">
        <f t="shared" si="110"/>
        <v>0</v>
      </c>
      <c r="M194" s="468"/>
      <c r="N194" s="468"/>
      <c r="O194" s="468"/>
      <c r="P194" s="468"/>
      <c r="Q194" s="468"/>
    </row>
    <row r="195" spans="2:17" x14ac:dyDescent="0.3">
      <c r="B195" s="101">
        <f t="shared" si="111"/>
        <v>6.5999999999999979</v>
      </c>
      <c r="C195" s="446" t="s">
        <v>483</v>
      </c>
      <c r="D195" s="467"/>
      <c r="E195" s="395">
        <f t="shared" ref="E195" si="112">AVERAGE(E190,E194)</f>
        <v>0</v>
      </c>
      <c r="F195" s="467">
        <f t="shared" si="108"/>
        <v>0</v>
      </c>
      <c r="G195" s="468"/>
      <c r="H195" s="395">
        <f t="shared" ref="H195" si="113">AVERAGE(H190,H194)</f>
        <v>0</v>
      </c>
      <c r="I195" s="467">
        <f t="shared" si="109"/>
        <v>0</v>
      </c>
      <c r="J195" s="468"/>
      <c r="K195" s="467"/>
      <c r="L195" s="467">
        <f t="shared" si="110"/>
        <v>0</v>
      </c>
      <c r="M195" s="468"/>
      <c r="N195" s="468"/>
      <c r="O195" s="468"/>
      <c r="P195" s="468"/>
      <c r="Q195" s="468"/>
    </row>
    <row r="196" spans="2:17" x14ac:dyDescent="0.3">
      <c r="B196" s="101">
        <f t="shared" si="111"/>
        <v>6.6999999999999975</v>
      </c>
      <c r="C196" s="446" t="s">
        <v>32</v>
      </c>
      <c r="D196" s="467"/>
      <c r="E196" s="467">
        <f>IFERROR(E197/E195,0)</f>
        <v>0</v>
      </c>
      <c r="F196" s="467">
        <f>IFERROR(F197/F195,0)</f>
        <v>0</v>
      </c>
      <c r="G196" s="468"/>
      <c r="H196" s="467">
        <f>IFERROR(H197/H195,0)</f>
        <v>0</v>
      </c>
      <c r="I196" s="467" t="e">
        <f>I197/I195</f>
        <v>#DIV/0!</v>
      </c>
      <c r="J196" s="468"/>
      <c r="K196" s="468" t="e">
        <f>J197/K195</f>
        <v>#DIV/0!</v>
      </c>
      <c r="L196" s="467" t="e">
        <f>L197/L195</f>
        <v>#DIV/0!</v>
      </c>
      <c r="M196" s="468"/>
      <c r="N196" s="468"/>
      <c r="O196" s="468"/>
      <c r="P196" s="468"/>
      <c r="Q196" s="468"/>
    </row>
    <row r="197" spans="2:17" x14ac:dyDescent="0.3">
      <c r="B197" s="101">
        <f t="shared" si="111"/>
        <v>6.7999999999999972</v>
      </c>
      <c r="C197" s="446" t="s">
        <v>33</v>
      </c>
      <c r="D197" s="467"/>
      <c r="E197" s="467">
        <v>0</v>
      </c>
      <c r="F197" s="467">
        <f t="shared" si="108"/>
        <v>0</v>
      </c>
      <c r="G197" s="468"/>
      <c r="H197" s="467">
        <v>0</v>
      </c>
      <c r="I197" s="467">
        <f t="shared" si="109"/>
        <v>0</v>
      </c>
      <c r="J197" s="468"/>
      <c r="K197" s="467"/>
      <c r="L197" s="467">
        <f t="shared" si="110"/>
        <v>0</v>
      </c>
      <c r="M197" s="468"/>
      <c r="N197" s="468"/>
      <c r="O197" s="468"/>
      <c r="P197" s="468"/>
      <c r="Q197" s="468"/>
    </row>
    <row r="198" spans="2:17" x14ac:dyDescent="0.3">
      <c r="B198" s="101"/>
      <c r="C198" s="446"/>
      <c r="D198" s="467"/>
      <c r="E198" s="467"/>
      <c r="F198" s="467"/>
      <c r="G198" s="468"/>
      <c r="H198" s="467"/>
      <c r="I198" s="467"/>
      <c r="J198" s="468"/>
      <c r="K198" s="467"/>
      <c r="L198" s="467"/>
      <c r="M198" s="468"/>
      <c r="N198" s="468"/>
      <c r="O198" s="468"/>
      <c r="P198" s="468"/>
      <c r="Q198" s="468"/>
    </row>
    <row r="199" spans="2:17" x14ac:dyDescent="0.3">
      <c r="B199" s="101">
        <v>7</v>
      </c>
      <c r="C199" s="610" t="s">
        <v>1419</v>
      </c>
      <c r="D199" s="467"/>
      <c r="E199" s="467"/>
      <c r="F199" s="467"/>
      <c r="G199" s="468"/>
      <c r="H199" s="467"/>
      <c r="I199" s="467"/>
      <c r="J199" s="468"/>
      <c r="K199" s="467"/>
      <c r="L199" s="467"/>
      <c r="M199" s="468"/>
      <c r="N199" s="468"/>
      <c r="O199" s="468"/>
      <c r="P199" s="468"/>
      <c r="Q199" s="468"/>
    </row>
    <row r="200" spans="2:17" x14ac:dyDescent="0.3">
      <c r="B200" s="101">
        <f>B199+0.1</f>
        <v>7.1</v>
      </c>
      <c r="C200" s="446" t="s">
        <v>29</v>
      </c>
      <c r="D200" s="467"/>
      <c r="E200" s="467">
        <v>0</v>
      </c>
      <c r="F200" s="467">
        <f t="shared" ref="F200:F207" si="114">E200-D200</f>
        <v>0</v>
      </c>
      <c r="G200" s="468"/>
      <c r="H200" s="467">
        <v>0</v>
      </c>
      <c r="I200" s="467">
        <f t="shared" ref="I200:I207" si="115">H200-G200</f>
        <v>0</v>
      </c>
      <c r="J200" s="468"/>
      <c r="K200" s="467"/>
      <c r="L200" s="467">
        <f t="shared" ref="L200:L207" si="116">K200-J200</f>
        <v>0</v>
      </c>
      <c r="M200" s="468"/>
      <c r="N200" s="468"/>
      <c r="O200" s="468"/>
      <c r="P200" s="468"/>
      <c r="Q200" s="468"/>
    </row>
    <row r="201" spans="2:17" x14ac:dyDescent="0.3">
      <c r="B201" s="101">
        <f t="shared" ref="B201:B207" si="117">B200+0.1</f>
        <v>7.1999999999999993</v>
      </c>
      <c r="C201" s="446" t="s">
        <v>405</v>
      </c>
      <c r="D201" s="467"/>
      <c r="E201" s="467">
        <v>0</v>
      </c>
      <c r="F201" s="467">
        <f t="shared" si="114"/>
        <v>0</v>
      </c>
      <c r="G201" s="468"/>
      <c r="H201" s="467">
        <v>0</v>
      </c>
      <c r="I201" s="467">
        <f t="shared" si="115"/>
        <v>0</v>
      </c>
      <c r="J201" s="468"/>
      <c r="K201" s="467"/>
      <c r="L201" s="467">
        <f t="shared" si="116"/>
        <v>0</v>
      </c>
      <c r="M201" s="468"/>
      <c r="N201" s="468"/>
      <c r="O201" s="468"/>
      <c r="P201" s="468"/>
      <c r="Q201" s="468"/>
    </row>
    <row r="202" spans="2:17" x14ac:dyDescent="0.3">
      <c r="B202" s="101">
        <f t="shared" si="117"/>
        <v>7.2999999999999989</v>
      </c>
      <c r="C202" s="446" t="s">
        <v>345</v>
      </c>
      <c r="D202" s="467"/>
      <c r="E202" s="467">
        <v>0</v>
      </c>
      <c r="F202" s="467">
        <f t="shared" si="114"/>
        <v>0</v>
      </c>
      <c r="G202" s="468"/>
      <c r="H202" s="467">
        <v>0</v>
      </c>
      <c r="I202" s="467">
        <f t="shared" si="115"/>
        <v>0</v>
      </c>
      <c r="J202" s="468"/>
      <c r="K202" s="467"/>
      <c r="L202" s="467">
        <f t="shared" si="116"/>
        <v>0</v>
      </c>
      <c r="M202" s="468"/>
      <c r="N202" s="468"/>
      <c r="O202" s="468"/>
      <c r="P202" s="468"/>
      <c r="Q202" s="468"/>
    </row>
    <row r="203" spans="2:17" x14ac:dyDescent="0.3">
      <c r="B203" s="101">
        <f t="shared" si="117"/>
        <v>7.3999999999999986</v>
      </c>
      <c r="C203" s="446" t="s">
        <v>30</v>
      </c>
      <c r="D203" s="467"/>
      <c r="E203" s="467">
        <v>0</v>
      </c>
      <c r="F203" s="467">
        <f t="shared" si="114"/>
        <v>0</v>
      </c>
      <c r="G203" s="468"/>
      <c r="H203" s="467">
        <v>0</v>
      </c>
      <c r="I203" s="467">
        <f t="shared" si="115"/>
        <v>0</v>
      </c>
      <c r="J203" s="468"/>
      <c r="K203" s="467"/>
      <c r="L203" s="467">
        <f t="shared" si="116"/>
        <v>0</v>
      </c>
      <c r="M203" s="468"/>
      <c r="N203" s="468"/>
      <c r="O203" s="468"/>
      <c r="P203" s="468"/>
      <c r="Q203" s="468"/>
    </row>
    <row r="204" spans="2:17" x14ac:dyDescent="0.3">
      <c r="B204" s="101">
        <f t="shared" si="117"/>
        <v>7.4999999999999982</v>
      </c>
      <c r="C204" s="446" t="s">
        <v>31</v>
      </c>
      <c r="D204" s="467"/>
      <c r="E204" s="467">
        <f>+E200-E201+E202-E203</f>
        <v>0</v>
      </c>
      <c r="F204" s="467">
        <f t="shared" si="114"/>
        <v>0</v>
      </c>
      <c r="G204" s="468"/>
      <c r="H204" s="467">
        <f>+H200-H201+H202-H203</f>
        <v>0</v>
      </c>
      <c r="I204" s="467">
        <f t="shared" si="115"/>
        <v>0</v>
      </c>
      <c r="J204" s="468"/>
      <c r="K204" s="468">
        <f>+J200-J201+J202-J203</f>
        <v>0</v>
      </c>
      <c r="L204" s="467">
        <f t="shared" si="116"/>
        <v>0</v>
      </c>
      <c r="M204" s="468"/>
      <c r="N204" s="468"/>
      <c r="O204" s="468"/>
      <c r="P204" s="468"/>
      <c r="Q204" s="468"/>
    </row>
    <row r="205" spans="2:17" x14ac:dyDescent="0.3">
      <c r="B205" s="101">
        <f t="shared" si="117"/>
        <v>7.5999999999999979</v>
      </c>
      <c r="C205" s="446" t="s">
        <v>483</v>
      </c>
      <c r="D205" s="467"/>
      <c r="E205" s="395">
        <f t="shared" ref="E205" si="118">AVERAGE(E200,E204)</f>
        <v>0</v>
      </c>
      <c r="F205" s="467">
        <f t="shared" si="114"/>
        <v>0</v>
      </c>
      <c r="G205" s="468"/>
      <c r="H205" s="395">
        <f t="shared" ref="H205" si="119">AVERAGE(H200,H204)</f>
        <v>0</v>
      </c>
      <c r="I205" s="467">
        <f t="shared" si="115"/>
        <v>0</v>
      </c>
      <c r="J205" s="468"/>
      <c r="K205" s="467"/>
      <c r="L205" s="467">
        <f t="shared" si="116"/>
        <v>0</v>
      </c>
      <c r="M205" s="468"/>
      <c r="N205" s="468"/>
      <c r="O205" s="468"/>
      <c r="P205" s="468"/>
      <c r="Q205" s="468"/>
    </row>
    <row r="206" spans="2:17" x14ac:dyDescent="0.3">
      <c r="B206" s="101">
        <f t="shared" si="117"/>
        <v>7.6999999999999975</v>
      </c>
      <c r="C206" s="446" t="s">
        <v>32</v>
      </c>
      <c r="D206" s="467"/>
      <c r="E206" s="467">
        <f>IFERROR(E207/E205,0)</f>
        <v>0</v>
      </c>
      <c r="F206" s="467">
        <f>IFERROR(F207/F205,0)</f>
        <v>0</v>
      </c>
      <c r="G206" s="468"/>
      <c r="H206" s="467">
        <f>IFERROR(H207/H205,0)</f>
        <v>0</v>
      </c>
      <c r="I206" s="467" t="e">
        <f>I207/I205</f>
        <v>#DIV/0!</v>
      </c>
      <c r="J206" s="468"/>
      <c r="K206" s="468" t="e">
        <f>J207/K205</f>
        <v>#DIV/0!</v>
      </c>
      <c r="L206" s="467" t="e">
        <f>L207/L205</f>
        <v>#DIV/0!</v>
      </c>
      <c r="M206" s="468"/>
      <c r="N206" s="468"/>
      <c r="O206" s="468"/>
      <c r="P206" s="468"/>
      <c r="Q206" s="468"/>
    </row>
    <row r="207" spans="2:17" x14ac:dyDescent="0.3">
      <c r="B207" s="101">
        <f t="shared" si="117"/>
        <v>7.7999999999999972</v>
      </c>
      <c r="C207" s="446" t="s">
        <v>33</v>
      </c>
      <c r="D207" s="467"/>
      <c r="E207" s="467">
        <v>0</v>
      </c>
      <c r="F207" s="467">
        <f t="shared" si="114"/>
        <v>0</v>
      </c>
      <c r="G207" s="468"/>
      <c r="H207" s="467">
        <v>0</v>
      </c>
      <c r="I207" s="467">
        <f t="shared" si="115"/>
        <v>0</v>
      </c>
      <c r="J207" s="468"/>
      <c r="K207" s="467"/>
      <c r="L207" s="467">
        <f t="shared" si="116"/>
        <v>0</v>
      </c>
      <c r="M207" s="468"/>
      <c r="N207" s="468"/>
      <c r="O207" s="468"/>
      <c r="P207" s="468"/>
      <c r="Q207" s="468"/>
    </row>
    <row r="208" spans="2:17" x14ac:dyDescent="0.3">
      <c r="B208" s="101"/>
      <c r="C208" s="446"/>
      <c r="D208" s="467"/>
      <c r="E208" s="467"/>
      <c r="F208" s="467"/>
      <c r="G208" s="468"/>
      <c r="H208" s="467"/>
      <c r="I208" s="467"/>
      <c r="J208" s="468"/>
      <c r="K208" s="467"/>
      <c r="L208" s="467"/>
      <c r="M208" s="468"/>
      <c r="N208" s="468"/>
      <c r="O208" s="468"/>
      <c r="P208" s="468"/>
      <c r="Q208" s="468"/>
    </row>
    <row r="209" spans="2:17" x14ac:dyDescent="0.3">
      <c r="B209" s="101">
        <v>8</v>
      </c>
      <c r="C209" s="610" t="s">
        <v>1420</v>
      </c>
      <c r="D209" s="467"/>
      <c r="E209" s="467"/>
      <c r="F209" s="467"/>
      <c r="G209" s="468"/>
      <c r="H209" s="467"/>
      <c r="I209" s="467"/>
      <c r="J209" s="468"/>
      <c r="K209" s="467"/>
      <c r="L209" s="467"/>
      <c r="M209" s="468"/>
      <c r="N209" s="468"/>
      <c r="O209" s="468"/>
      <c r="P209" s="468"/>
      <c r="Q209" s="468"/>
    </row>
    <row r="210" spans="2:17" x14ac:dyDescent="0.3">
      <c r="B210" s="101">
        <f>B209+0.1</f>
        <v>8.1</v>
      </c>
      <c r="C210" s="446" t="s">
        <v>29</v>
      </c>
      <c r="D210" s="467"/>
      <c r="E210" s="467">
        <v>0</v>
      </c>
      <c r="F210" s="467">
        <f t="shared" ref="F210:F217" si="120">E210-D210</f>
        <v>0</v>
      </c>
      <c r="G210" s="468"/>
      <c r="H210" s="467">
        <v>0</v>
      </c>
      <c r="I210" s="467">
        <f t="shared" ref="I210:I217" si="121">H210-G210</f>
        <v>0</v>
      </c>
      <c r="J210" s="468"/>
      <c r="K210" s="467"/>
      <c r="L210" s="467">
        <f t="shared" ref="L210:L217" si="122">K210-J210</f>
        <v>0</v>
      </c>
      <c r="M210" s="468"/>
      <c r="N210" s="468"/>
      <c r="O210" s="468"/>
      <c r="P210" s="468"/>
      <c r="Q210" s="468"/>
    </row>
    <row r="211" spans="2:17" x14ac:dyDescent="0.3">
      <c r="B211" s="101">
        <f t="shared" ref="B211:B217" si="123">B210+0.1</f>
        <v>8.1999999999999993</v>
      </c>
      <c r="C211" s="446" t="s">
        <v>405</v>
      </c>
      <c r="D211" s="467"/>
      <c r="E211" s="467">
        <v>0</v>
      </c>
      <c r="F211" s="467">
        <f t="shared" si="120"/>
        <v>0</v>
      </c>
      <c r="G211" s="468"/>
      <c r="H211" s="467">
        <v>0</v>
      </c>
      <c r="I211" s="467">
        <f t="shared" si="121"/>
        <v>0</v>
      </c>
      <c r="J211" s="468"/>
      <c r="K211" s="467"/>
      <c r="L211" s="467">
        <f t="shared" si="122"/>
        <v>0</v>
      </c>
      <c r="M211" s="468"/>
      <c r="N211" s="468"/>
      <c r="O211" s="468"/>
      <c r="P211" s="468"/>
      <c r="Q211" s="468"/>
    </row>
    <row r="212" spans="2:17" x14ac:dyDescent="0.3">
      <c r="B212" s="101">
        <f t="shared" si="123"/>
        <v>8.2999999999999989</v>
      </c>
      <c r="C212" s="446" t="s">
        <v>345</v>
      </c>
      <c r="D212" s="467"/>
      <c r="E212" s="467">
        <v>0</v>
      </c>
      <c r="F212" s="467">
        <f t="shared" si="120"/>
        <v>0</v>
      </c>
      <c r="G212" s="468"/>
      <c r="H212" s="467">
        <v>0</v>
      </c>
      <c r="I212" s="467">
        <f t="shared" si="121"/>
        <v>0</v>
      </c>
      <c r="J212" s="468"/>
      <c r="K212" s="467"/>
      <c r="L212" s="467">
        <f t="shared" si="122"/>
        <v>0</v>
      </c>
      <c r="M212" s="468"/>
      <c r="N212" s="468"/>
      <c r="O212" s="468"/>
      <c r="P212" s="468"/>
      <c r="Q212" s="468"/>
    </row>
    <row r="213" spans="2:17" x14ac:dyDescent="0.3">
      <c r="B213" s="101">
        <f t="shared" si="123"/>
        <v>8.3999999999999986</v>
      </c>
      <c r="C213" s="446" t="s">
        <v>30</v>
      </c>
      <c r="D213" s="467"/>
      <c r="E213" s="467">
        <v>0</v>
      </c>
      <c r="F213" s="467">
        <f t="shared" si="120"/>
        <v>0</v>
      </c>
      <c r="G213" s="468"/>
      <c r="H213" s="467">
        <v>0</v>
      </c>
      <c r="I213" s="467">
        <f t="shared" si="121"/>
        <v>0</v>
      </c>
      <c r="J213" s="468"/>
      <c r="K213" s="467"/>
      <c r="L213" s="467">
        <f t="shared" si="122"/>
        <v>0</v>
      </c>
      <c r="M213" s="468"/>
      <c r="N213" s="468"/>
      <c r="O213" s="468"/>
      <c r="P213" s="468"/>
      <c r="Q213" s="468"/>
    </row>
    <row r="214" spans="2:17" x14ac:dyDescent="0.3">
      <c r="B214" s="101">
        <f t="shared" si="123"/>
        <v>8.4999999999999982</v>
      </c>
      <c r="C214" s="446" t="s">
        <v>31</v>
      </c>
      <c r="D214" s="467"/>
      <c r="E214" s="467">
        <f>+E210-E211+E212-E213</f>
        <v>0</v>
      </c>
      <c r="F214" s="467">
        <f t="shared" si="120"/>
        <v>0</v>
      </c>
      <c r="G214" s="468"/>
      <c r="H214" s="467">
        <f>+H210-H211+H212-H213</f>
        <v>0</v>
      </c>
      <c r="I214" s="467">
        <f t="shared" si="121"/>
        <v>0</v>
      </c>
      <c r="J214" s="468"/>
      <c r="K214" s="468">
        <f>+J210-J211+J212-J213</f>
        <v>0</v>
      </c>
      <c r="L214" s="467">
        <f t="shared" si="122"/>
        <v>0</v>
      </c>
      <c r="M214" s="468"/>
      <c r="N214" s="468"/>
      <c r="O214" s="468"/>
      <c r="P214" s="468"/>
      <c r="Q214" s="468"/>
    </row>
    <row r="215" spans="2:17" x14ac:dyDescent="0.3">
      <c r="B215" s="101">
        <f t="shared" si="123"/>
        <v>8.5999999999999979</v>
      </c>
      <c r="C215" s="446" t="s">
        <v>483</v>
      </c>
      <c r="D215" s="467"/>
      <c r="E215" s="395">
        <f t="shared" ref="E215" si="124">AVERAGE(E210,E214)</f>
        <v>0</v>
      </c>
      <c r="F215" s="467">
        <f t="shared" si="120"/>
        <v>0</v>
      </c>
      <c r="G215" s="468"/>
      <c r="H215" s="395">
        <f t="shared" ref="H215" si="125">AVERAGE(H210,H214)</f>
        <v>0</v>
      </c>
      <c r="I215" s="467">
        <f t="shared" si="121"/>
        <v>0</v>
      </c>
      <c r="J215" s="468"/>
      <c r="K215" s="467"/>
      <c r="L215" s="467">
        <f t="shared" si="122"/>
        <v>0</v>
      </c>
      <c r="M215" s="468"/>
      <c r="N215" s="468"/>
      <c r="O215" s="468"/>
      <c r="P215" s="468"/>
      <c r="Q215" s="468"/>
    </row>
    <row r="216" spans="2:17" x14ac:dyDescent="0.3">
      <c r="B216" s="101">
        <f t="shared" si="123"/>
        <v>8.6999999999999975</v>
      </c>
      <c r="C216" s="446" t="s">
        <v>32</v>
      </c>
      <c r="D216" s="467"/>
      <c r="E216" s="467">
        <f>IFERROR(E217/E215,0)</f>
        <v>0</v>
      </c>
      <c r="F216" s="467">
        <f>IFERROR(F217/F215,0)</f>
        <v>0</v>
      </c>
      <c r="G216" s="468"/>
      <c r="H216" s="467">
        <f>IFERROR(H217/H215,0)</f>
        <v>0</v>
      </c>
      <c r="I216" s="467" t="e">
        <f>I217/I215</f>
        <v>#DIV/0!</v>
      </c>
      <c r="J216" s="468"/>
      <c r="K216" s="468" t="e">
        <f>J217/K215</f>
        <v>#DIV/0!</v>
      </c>
      <c r="L216" s="467" t="e">
        <f>L217/L215</f>
        <v>#DIV/0!</v>
      </c>
      <c r="M216" s="468"/>
      <c r="N216" s="468"/>
      <c r="O216" s="468"/>
      <c r="P216" s="468"/>
      <c r="Q216" s="468"/>
    </row>
    <row r="217" spans="2:17" x14ac:dyDescent="0.3">
      <c r="B217" s="101">
        <f t="shared" si="123"/>
        <v>8.7999999999999972</v>
      </c>
      <c r="C217" s="446" t="s">
        <v>33</v>
      </c>
      <c r="D217" s="467"/>
      <c r="E217" s="467">
        <v>0</v>
      </c>
      <c r="F217" s="467">
        <f t="shared" si="120"/>
        <v>0</v>
      </c>
      <c r="G217" s="468"/>
      <c r="H217" s="467">
        <v>0</v>
      </c>
      <c r="I217" s="467">
        <f t="shared" si="121"/>
        <v>0</v>
      </c>
      <c r="J217" s="468"/>
      <c r="K217" s="467"/>
      <c r="L217" s="467">
        <f t="shared" si="122"/>
        <v>0</v>
      </c>
      <c r="M217" s="468"/>
      <c r="N217" s="468"/>
      <c r="O217" s="468"/>
      <c r="P217" s="468"/>
      <c r="Q217" s="468"/>
    </row>
    <row r="218" spans="2:17" x14ac:dyDescent="0.3">
      <c r="B218" s="101"/>
      <c r="C218" s="446"/>
      <c r="D218" s="467"/>
      <c r="E218" s="467"/>
      <c r="F218" s="467"/>
      <c r="G218" s="468"/>
      <c r="H218" s="467"/>
      <c r="I218" s="467"/>
      <c r="J218" s="468"/>
      <c r="K218" s="467"/>
      <c r="L218" s="467"/>
      <c r="M218" s="468"/>
      <c r="N218" s="468"/>
      <c r="O218" s="468"/>
      <c r="P218" s="468"/>
      <c r="Q218" s="468"/>
    </row>
    <row r="219" spans="2:17" x14ac:dyDescent="0.3">
      <c r="B219" s="101">
        <v>9</v>
      </c>
      <c r="C219" s="610" t="s">
        <v>1421</v>
      </c>
      <c r="D219" s="467"/>
      <c r="E219" s="467"/>
      <c r="F219" s="467"/>
      <c r="G219" s="468"/>
      <c r="H219" s="467"/>
      <c r="I219" s="467"/>
      <c r="J219" s="468"/>
      <c r="K219" s="467"/>
      <c r="L219" s="467"/>
      <c r="M219" s="468"/>
      <c r="N219" s="468"/>
      <c r="O219" s="468"/>
      <c r="P219" s="468"/>
      <c r="Q219" s="468"/>
    </row>
    <row r="220" spans="2:17" x14ac:dyDescent="0.3">
      <c r="B220" s="101">
        <v>9.1</v>
      </c>
      <c r="C220" s="446" t="s">
        <v>29</v>
      </c>
      <c r="D220" s="467"/>
      <c r="E220" s="467">
        <v>0</v>
      </c>
      <c r="F220" s="467">
        <f t="shared" ref="F220:F227" si="126">E220-D220</f>
        <v>0</v>
      </c>
      <c r="G220" s="468"/>
      <c r="H220" s="467">
        <v>0</v>
      </c>
      <c r="I220" s="467">
        <f t="shared" ref="I220:I227" si="127">H220-G220</f>
        <v>0</v>
      </c>
      <c r="J220" s="468"/>
      <c r="K220" s="467"/>
      <c r="L220" s="467">
        <f t="shared" ref="L220:L227" si="128">K220-J220</f>
        <v>0</v>
      </c>
      <c r="M220" s="468"/>
      <c r="N220" s="468"/>
      <c r="O220" s="468"/>
      <c r="P220" s="468"/>
      <c r="Q220" s="468"/>
    </row>
    <row r="221" spans="2:17" x14ac:dyDescent="0.3">
      <c r="B221" s="101">
        <v>9.1999999999999993</v>
      </c>
      <c r="C221" s="446" t="s">
        <v>405</v>
      </c>
      <c r="D221" s="467"/>
      <c r="E221" s="467">
        <v>0</v>
      </c>
      <c r="F221" s="467">
        <f t="shared" si="126"/>
        <v>0</v>
      </c>
      <c r="G221" s="468"/>
      <c r="H221" s="467">
        <v>0</v>
      </c>
      <c r="I221" s="467">
        <f t="shared" si="127"/>
        <v>0</v>
      </c>
      <c r="J221" s="468"/>
      <c r="K221" s="467"/>
      <c r="L221" s="467">
        <f t="shared" si="128"/>
        <v>0</v>
      </c>
      <c r="M221" s="468"/>
      <c r="N221" s="468"/>
      <c r="O221" s="468"/>
      <c r="P221" s="468"/>
      <c r="Q221" s="468"/>
    </row>
    <row r="222" spans="2:17" x14ac:dyDescent="0.3">
      <c r="B222" s="101">
        <v>9.2999999999999989</v>
      </c>
      <c r="C222" s="446" t="s">
        <v>345</v>
      </c>
      <c r="D222" s="467"/>
      <c r="E222" s="467">
        <v>0</v>
      </c>
      <c r="F222" s="467">
        <f t="shared" si="126"/>
        <v>0</v>
      </c>
      <c r="G222" s="468"/>
      <c r="H222" s="467">
        <v>0</v>
      </c>
      <c r="I222" s="467">
        <f t="shared" si="127"/>
        <v>0</v>
      </c>
      <c r="J222" s="468"/>
      <c r="K222" s="467"/>
      <c r="L222" s="467">
        <f t="shared" si="128"/>
        <v>0</v>
      </c>
      <c r="M222" s="468"/>
      <c r="N222" s="468"/>
      <c r="O222" s="468"/>
      <c r="P222" s="468"/>
      <c r="Q222" s="468"/>
    </row>
    <row r="223" spans="2:17" x14ac:dyDescent="0.3">
      <c r="B223" s="101">
        <v>9.3999999999999986</v>
      </c>
      <c r="C223" s="446" t="s">
        <v>30</v>
      </c>
      <c r="D223" s="467"/>
      <c r="E223" s="467">
        <v>0</v>
      </c>
      <c r="F223" s="467">
        <f t="shared" si="126"/>
        <v>0</v>
      </c>
      <c r="G223" s="468"/>
      <c r="H223" s="467">
        <v>0</v>
      </c>
      <c r="I223" s="467">
        <f t="shared" si="127"/>
        <v>0</v>
      </c>
      <c r="J223" s="468"/>
      <c r="K223" s="467"/>
      <c r="L223" s="467">
        <f t="shared" si="128"/>
        <v>0</v>
      </c>
      <c r="M223" s="468"/>
      <c r="N223" s="468"/>
      <c r="O223" s="468"/>
      <c r="P223" s="468"/>
      <c r="Q223" s="468"/>
    </row>
    <row r="224" spans="2:17" x14ac:dyDescent="0.3">
      <c r="B224" s="101">
        <v>9.4999999999999982</v>
      </c>
      <c r="C224" s="446" t="s">
        <v>31</v>
      </c>
      <c r="D224" s="467"/>
      <c r="E224" s="467">
        <f>+E220-E221+E222-E223</f>
        <v>0</v>
      </c>
      <c r="F224" s="467">
        <f t="shared" si="126"/>
        <v>0</v>
      </c>
      <c r="G224" s="468"/>
      <c r="H224" s="467">
        <f>+H220-H221+H222-H223</f>
        <v>0</v>
      </c>
      <c r="I224" s="467">
        <f t="shared" si="127"/>
        <v>0</v>
      </c>
      <c r="J224" s="468"/>
      <c r="K224" s="468">
        <f>+J220-J221+J222-J223</f>
        <v>0</v>
      </c>
      <c r="L224" s="467">
        <f t="shared" si="128"/>
        <v>0</v>
      </c>
      <c r="M224" s="468"/>
      <c r="N224" s="468"/>
      <c r="O224" s="468"/>
      <c r="P224" s="468"/>
      <c r="Q224" s="468"/>
    </row>
    <row r="225" spans="2:17" x14ac:dyDescent="0.3">
      <c r="B225" s="101">
        <v>9.5999999999999979</v>
      </c>
      <c r="C225" s="446" t="s">
        <v>483</v>
      </c>
      <c r="D225" s="467"/>
      <c r="E225" s="395">
        <f t="shared" ref="E225" si="129">AVERAGE(E220,E224)</f>
        <v>0</v>
      </c>
      <c r="F225" s="467">
        <f t="shared" si="126"/>
        <v>0</v>
      </c>
      <c r="G225" s="468"/>
      <c r="H225" s="395">
        <f t="shared" ref="H225" si="130">AVERAGE(H220,H224)</f>
        <v>0</v>
      </c>
      <c r="I225" s="467">
        <f t="shared" si="127"/>
        <v>0</v>
      </c>
      <c r="J225" s="468"/>
      <c r="K225" s="467"/>
      <c r="L225" s="467">
        <f t="shared" si="128"/>
        <v>0</v>
      </c>
      <c r="M225" s="468"/>
      <c r="N225" s="468"/>
      <c r="O225" s="468"/>
      <c r="P225" s="468"/>
      <c r="Q225" s="468"/>
    </row>
    <row r="226" spans="2:17" x14ac:dyDescent="0.3">
      <c r="B226" s="101">
        <v>9.6999999999999975</v>
      </c>
      <c r="C226" s="446" t="s">
        <v>32</v>
      </c>
      <c r="D226" s="467"/>
      <c r="E226" s="467">
        <f>IFERROR(E227/E225,0)</f>
        <v>0</v>
      </c>
      <c r="F226" s="467">
        <f>IFERROR(F227/F225,0)</f>
        <v>0</v>
      </c>
      <c r="G226" s="468"/>
      <c r="H226" s="467">
        <f>IFERROR(H227/H225,0)</f>
        <v>0</v>
      </c>
      <c r="I226" s="467" t="e">
        <f>I227/I225</f>
        <v>#DIV/0!</v>
      </c>
      <c r="J226" s="468"/>
      <c r="K226" s="468" t="e">
        <f>J227/K225</f>
        <v>#DIV/0!</v>
      </c>
      <c r="L226" s="467" t="e">
        <f>L227/L225</f>
        <v>#DIV/0!</v>
      </c>
      <c r="M226" s="468"/>
      <c r="N226" s="468"/>
      <c r="O226" s="468"/>
      <c r="P226" s="468"/>
      <c r="Q226" s="468"/>
    </row>
    <row r="227" spans="2:17" x14ac:dyDescent="0.3">
      <c r="B227" s="101">
        <v>9.7999999999999972</v>
      </c>
      <c r="C227" s="446" t="s">
        <v>33</v>
      </c>
      <c r="D227" s="467"/>
      <c r="E227" s="467">
        <v>0</v>
      </c>
      <c r="F227" s="467">
        <f t="shared" si="126"/>
        <v>0</v>
      </c>
      <c r="G227" s="468"/>
      <c r="H227" s="467">
        <v>0</v>
      </c>
      <c r="I227" s="467">
        <f t="shared" si="127"/>
        <v>0</v>
      </c>
      <c r="J227" s="468"/>
      <c r="K227" s="467"/>
      <c r="L227" s="467">
        <f t="shared" si="128"/>
        <v>0</v>
      </c>
      <c r="M227" s="468"/>
      <c r="N227" s="468"/>
      <c r="O227" s="468"/>
      <c r="P227" s="468"/>
      <c r="Q227" s="468"/>
    </row>
    <row r="228" spans="2:17" x14ac:dyDescent="0.3">
      <c r="B228" s="101"/>
      <c r="C228" s="446"/>
      <c r="D228" s="467"/>
      <c r="E228" s="467"/>
      <c r="F228" s="467"/>
      <c r="G228" s="468"/>
      <c r="H228" s="467"/>
      <c r="I228" s="467"/>
      <c r="J228" s="468"/>
      <c r="K228" s="467"/>
      <c r="L228" s="467"/>
      <c r="M228" s="468"/>
      <c r="N228" s="468"/>
      <c r="O228" s="468"/>
      <c r="P228" s="468"/>
      <c r="Q228" s="468"/>
    </row>
    <row r="229" spans="2:17" x14ac:dyDescent="0.3">
      <c r="B229" s="101">
        <v>10</v>
      </c>
      <c r="C229" s="610" t="s">
        <v>1426</v>
      </c>
      <c r="D229" s="467"/>
      <c r="E229" s="467"/>
      <c r="F229" s="467"/>
      <c r="G229" s="468"/>
      <c r="H229" s="467"/>
      <c r="I229" s="467"/>
      <c r="J229" s="468"/>
      <c r="K229" s="467"/>
      <c r="L229" s="467"/>
      <c r="M229" s="468"/>
      <c r="N229" s="468"/>
      <c r="O229" s="468"/>
      <c r="P229" s="468"/>
      <c r="Q229" s="468"/>
    </row>
    <row r="230" spans="2:17" x14ac:dyDescent="0.3">
      <c r="B230" s="101">
        <v>10.1</v>
      </c>
      <c r="C230" s="446" t="s">
        <v>29</v>
      </c>
      <c r="D230" s="467"/>
      <c r="E230" s="467">
        <v>0</v>
      </c>
      <c r="F230" s="467">
        <f t="shared" ref="F230:F237" si="131">E230-D230</f>
        <v>0</v>
      </c>
      <c r="G230" s="468"/>
      <c r="H230" s="467">
        <v>0</v>
      </c>
      <c r="I230" s="467">
        <f t="shared" ref="I230:I237" si="132">H230-G230</f>
        <v>0</v>
      </c>
      <c r="J230" s="468"/>
      <c r="K230" s="467"/>
      <c r="L230" s="467">
        <f t="shared" ref="L230:L237" si="133">K230-J230</f>
        <v>0</v>
      </c>
      <c r="M230" s="468"/>
      <c r="N230" s="468"/>
      <c r="O230" s="468"/>
      <c r="P230" s="468"/>
      <c r="Q230" s="468"/>
    </row>
    <row r="231" spans="2:17" x14ac:dyDescent="0.3">
      <c r="B231" s="101">
        <v>10.199999999999999</v>
      </c>
      <c r="C231" s="446" t="s">
        <v>405</v>
      </c>
      <c r="D231" s="467"/>
      <c r="E231" s="467">
        <v>0</v>
      </c>
      <c r="F231" s="467">
        <f t="shared" si="131"/>
        <v>0</v>
      </c>
      <c r="G231" s="468"/>
      <c r="H231" s="467">
        <v>0</v>
      </c>
      <c r="I231" s="467">
        <f t="shared" si="132"/>
        <v>0</v>
      </c>
      <c r="J231" s="468"/>
      <c r="K231" s="467"/>
      <c r="L231" s="467">
        <f t="shared" si="133"/>
        <v>0</v>
      </c>
      <c r="M231" s="468"/>
      <c r="N231" s="468"/>
      <c r="O231" s="468"/>
      <c r="P231" s="468"/>
      <c r="Q231" s="468"/>
    </row>
    <row r="232" spans="2:17" x14ac:dyDescent="0.3">
      <c r="B232" s="101">
        <v>10.299999999999999</v>
      </c>
      <c r="C232" s="446" t="s">
        <v>345</v>
      </c>
      <c r="D232" s="467"/>
      <c r="E232" s="467">
        <v>0</v>
      </c>
      <c r="F232" s="467">
        <f t="shared" si="131"/>
        <v>0</v>
      </c>
      <c r="G232" s="468"/>
      <c r="H232" s="467">
        <v>0</v>
      </c>
      <c r="I232" s="467">
        <f t="shared" si="132"/>
        <v>0</v>
      </c>
      <c r="J232" s="468"/>
      <c r="K232" s="467"/>
      <c r="L232" s="467">
        <f t="shared" si="133"/>
        <v>0</v>
      </c>
      <c r="M232" s="468"/>
      <c r="N232" s="468"/>
      <c r="O232" s="468"/>
      <c r="P232" s="468"/>
      <c r="Q232" s="468"/>
    </row>
    <row r="233" spans="2:17" x14ac:dyDescent="0.3">
      <c r="B233" s="101">
        <v>10.399999999999999</v>
      </c>
      <c r="C233" s="446" t="s">
        <v>30</v>
      </c>
      <c r="D233" s="467"/>
      <c r="E233" s="467">
        <v>0</v>
      </c>
      <c r="F233" s="467">
        <f t="shared" si="131"/>
        <v>0</v>
      </c>
      <c r="G233" s="468"/>
      <c r="H233" s="467">
        <v>0</v>
      </c>
      <c r="I233" s="467">
        <f t="shared" si="132"/>
        <v>0</v>
      </c>
      <c r="J233" s="468"/>
      <c r="K233" s="467"/>
      <c r="L233" s="467">
        <f t="shared" si="133"/>
        <v>0</v>
      </c>
      <c r="M233" s="468"/>
      <c r="N233" s="468"/>
      <c r="O233" s="468"/>
      <c r="P233" s="468"/>
      <c r="Q233" s="468"/>
    </row>
    <row r="234" spans="2:17" x14ac:dyDescent="0.3">
      <c r="B234" s="101">
        <v>10.499999999999998</v>
      </c>
      <c r="C234" s="446" t="s">
        <v>31</v>
      </c>
      <c r="D234" s="467"/>
      <c r="E234" s="467">
        <f>+E230-E231+E232-E233</f>
        <v>0</v>
      </c>
      <c r="F234" s="467">
        <f t="shared" si="131"/>
        <v>0</v>
      </c>
      <c r="G234" s="468"/>
      <c r="H234" s="467">
        <f>+H230-H231+H232-H233</f>
        <v>0</v>
      </c>
      <c r="I234" s="467">
        <f t="shared" si="132"/>
        <v>0</v>
      </c>
      <c r="J234" s="468"/>
      <c r="K234" s="468">
        <f>+J230-J231+J232-J233</f>
        <v>0</v>
      </c>
      <c r="L234" s="467">
        <f t="shared" si="133"/>
        <v>0</v>
      </c>
      <c r="M234" s="468"/>
      <c r="N234" s="468"/>
      <c r="O234" s="468"/>
      <c r="P234" s="468"/>
      <c r="Q234" s="468"/>
    </row>
    <row r="235" spans="2:17" x14ac:dyDescent="0.3">
      <c r="B235" s="101">
        <v>10.599999999999998</v>
      </c>
      <c r="C235" s="446" t="s">
        <v>483</v>
      </c>
      <c r="D235" s="467"/>
      <c r="E235" s="395">
        <f t="shared" ref="E235" si="134">AVERAGE(E230,E234)</f>
        <v>0</v>
      </c>
      <c r="F235" s="467">
        <f t="shared" si="131"/>
        <v>0</v>
      </c>
      <c r="G235" s="468"/>
      <c r="H235" s="395">
        <f t="shared" ref="H235" si="135">AVERAGE(H230,H234)</f>
        <v>0</v>
      </c>
      <c r="I235" s="467">
        <f t="shared" si="132"/>
        <v>0</v>
      </c>
      <c r="J235" s="468"/>
      <c r="K235" s="467"/>
      <c r="L235" s="467">
        <f t="shared" si="133"/>
        <v>0</v>
      </c>
      <c r="M235" s="468"/>
      <c r="N235" s="468"/>
      <c r="O235" s="468"/>
      <c r="P235" s="468"/>
      <c r="Q235" s="468"/>
    </row>
    <row r="236" spans="2:17" x14ac:dyDescent="0.3">
      <c r="B236" s="101">
        <v>10.699999999999998</v>
      </c>
      <c r="C236" s="446" t="s">
        <v>32</v>
      </c>
      <c r="D236" s="467"/>
      <c r="E236" s="467">
        <f>IFERROR(E237/E235,0)</f>
        <v>0</v>
      </c>
      <c r="F236" s="467">
        <f>IFERROR(F237/F235,0)</f>
        <v>0</v>
      </c>
      <c r="G236" s="468"/>
      <c r="H236" s="467">
        <f>IFERROR(H237/H235,0)</f>
        <v>0</v>
      </c>
      <c r="I236" s="467" t="e">
        <f>I237/I235</f>
        <v>#DIV/0!</v>
      </c>
      <c r="J236" s="468"/>
      <c r="K236" s="468" t="e">
        <f>J237/K235</f>
        <v>#DIV/0!</v>
      </c>
      <c r="L236" s="467" t="e">
        <f>L237/L235</f>
        <v>#DIV/0!</v>
      </c>
      <c r="M236" s="468"/>
      <c r="N236" s="468"/>
      <c r="O236" s="468"/>
      <c r="P236" s="468"/>
      <c r="Q236" s="468"/>
    </row>
    <row r="237" spans="2:17" x14ac:dyDescent="0.3">
      <c r="B237" s="101">
        <v>10.799999999999997</v>
      </c>
      <c r="C237" s="446" t="s">
        <v>33</v>
      </c>
      <c r="D237" s="467"/>
      <c r="E237" s="467">
        <v>0</v>
      </c>
      <c r="F237" s="467">
        <f t="shared" si="131"/>
        <v>0</v>
      </c>
      <c r="G237" s="468"/>
      <c r="H237" s="467">
        <v>0</v>
      </c>
      <c r="I237" s="467">
        <f t="shared" si="132"/>
        <v>0</v>
      </c>
      <c r="J237" s="468"/>
      <c r="K237" s="467"/>
      <c r="L237" s="467">
        <f t="shared" si="133"/>
        <v>0</v>
      </c>
      <c r="M237" s="468"/>
      <c r="N237" s="468"/>
      <c r="O237" s="468"/>
      <c r="P237" s="468"/>
      <c r="Q237" s="468"/>
    </row>
    <row r="238" spans="2:17" x14ac:dyDescent="0.3">
      <c r="B238" s="101"/>
      <c r="C238" s="446"/>
      <c r="D238" s="467"/>
      <c r="E238" s="467"/>
      <c r="F238" s="467"/>
      <c r="G238" s="468"/>
      <c r="H238" s="467"/>
      <c r="I238" s="467"/>
      <c r="J238" s="468"/>
      <c r="K238" s="467"/>
      <c r="L238" s="467"/>
      <c r="M238" s="468"/>
      <c r="N238" s="468"/>
      <c r="O238" s="468"/>
      <c r="P238" s="468"/>
      <c r="Q238" s="468"/>
    </row>
    <row r="239" spans="2:17" x14ac:dyDescent="0.3">
      <c r="B239" s="101">
        <v>11</v>
      </c>
      <c r="C239" s="610" t="s">
        <v>1427</v>
      </c>
      <c r="D239" s="467"/>
      <c r="E239" s="467"/>
      <c r="F239" s="467"/>
      <c r="G239" s="468"/>
      <c r="H239" s="467"/>
      <c r="I239" s="467"/>
      <c r="J239" s="468"/>
      <c r="K239" s="467"/>
      <c r="L239" s="467"/>
      <c r="M239" s="468"/>
      <c r="N239" s="468"/>
      <c r="O239" s="468"/>
      <c r="P239" s="468"/>
      <c r="Q239" s="468"/>
    </row>
    <row r="240" spans="2:17" x14ac:dyDescent="0.3">
      <c r="B240" s="101">
        <v>11.1</v>
      </c>
      <c r="C240" s="446" t="s">
        <v>29</v>
      </c>
      <c r="D240" s="467"/>
      <c r="E240" s="467">
        <v>0</v>
      </c>
      <c r="F240" s="467">
        <f t="shared" ref="F240:F247" si="136">E240-D240</f>
        <v>0</v>
      </c>
      <c r="G240" s="468"/>
      <c r="H240" s="467">
        <v>0</v>
      </c>
      <c r="I240" s="467">
        <f t="shared" ref="I240:I247" si="137">H240-G240</f>
        <v>0</v>
      </c>
      <c r="J240" s="468"/>
      <c r="K240" s="467"/>
      <c r="L240" s="467">
        <f t="shared" ref="L240:L247" si="138">K240-J240</f>
        <v>0</v>
      </c>
      <c r="M240" s="468"/>
      <c r="N240" s="468"/>
      <c r="O240" s="468"/>
      <c r="P240" s="468"/>
      <c r="Q240" s="468"/>
    </row>
    <row r="241" spans="2:17" x14ac:dyDescent="0.3">
      <c r="B241" s="101">
        <v>11.2</v>
      </c>
      <c r="C241" s="446" t="s">
        <v>405</v>
      </c>
      <c r="D241" s="467"/>
      <c r="E241" s="467">
        <v>0</v>
      </c>
      <c r="F241" s="467">
        <f t="shared" si="136"/>
        <v>0</v>
      </c>
      <c r="G241" s="468"/>
      <c r="H241" s="467">
        <v>0</v>
      </c>
      <c r="I241" s="467">
        <f t="shared" si="137"/>
        <v>0</v>
      </c>
      <c r="J241" s="468"/>
      <c r="K241" s="467"/>
      <c r="L241" s="467">
        <f t="shared" si="138"/>
        <v>0</v>
      </c>
      <c r="M241" s="468"/>
      <c r="N241" s="468"/>
      <c r="O241" s="468"/>
      <c r="P241" s="468"/>
      <c r="Q241" s="468"/>
    </row>
    <row r="242" spans="2:17" x14ac:dyDescent="0.3">
      <c r="B242" s="101">
        <v>11.299999999999999</v>
      </c>
      <c r="C242" s="446" t="s">
        <v>345</v>
      </c>
      <c r="D242" s="467"/>
      <c r="E242" s="467">
        <v>0</v>
      </c>
      <c r="F242" s="467">
        <f t="shared" si="136"/>
        <v>0</v>
      </c>
      <c r="G242" s="468"/>
      <c r="H242" s="467">
        <v>0</v>
      </c>
      <c r="I242" s="467">
        <f t="shared" si="137"/>
        <v>0</v>
      </c>
      <c r="J242" s="468"/>
      <c r="K242" s="467"/>
      <c r="L242" s="467">
        <f t="shared" si="138"/>
        <v>0</v>
      </c>
      <c r="M242" s="468"/>
      <c r="N242" s="468"/>
      <c r="O242" s="468"/>
      <c r="P242" s="468"/>
      <c r="Q242" s="468"/>
    </row>
    <row r="243" spans="2:17" x14ac:dyDescent="0.3">
      <c r="B243" s="101">
        <v>11.399999999999999</v>
      </c>
      <c r="C243" s="446" t="s">
        <v>30</v>
      </c>
      <c r="D243" s="467"/>
      <c r="E243" s="467">
        <v>0</v>
      </c>
      <c r="F243" s="467">
        <f t="shared" si="136"/>
        <v>0</v>
      </c>
      <c r="G243" s="468"/>
      <c r="H243" s="467">
        <v>0</v>
      </c>
      <c r="I243" s="467">
        <f t="shared" si="137"/>
        <v>0</v>
      </c>
      <c r="J243" s="468"/>
      <c r="K243" s="467"/>
      <c r="L243" s="467">
        <f t="shared" si="138"/>
        <v>0</v>
      </c>
      <c r="M243" s="468"/>
      <c r="N243" s="468"/>
      <c r="O243" s="468"/>
      <c r="P243" s="468"/>
      <c r="Q243" s="468"/>
    </row>
    <row r="244" spans="2:17" x14ac:dyDescent="0.3">
      <c r="B244" s="101">
        <v>11.499999999999998</v>
      </c>
      <c r="C244" s="446" t="s">
        <v>31</v>
      </c>
      <c r="D244" s="467"/>
      <c r="E244" s="467">
        <f>+E240-E241+E242-E243</f>
        <v>0</v>
      </c>
      <c r="F244" s="467">
        <f t="shared" si="136"/>
        <v>0</v>
      </c>
      <c r="G244" s="468"/>
      <c r="H244" s="467">
        <f>+H240-H241+H242-H243</f>
        <v>0</v>
      </c>
      <c r="I244" s="467">
        <f t="shared" si="137"/>
        <v>0</v>
      </c>
      <c r="J244" s="468"/>
      <c r="K244" s="468">
        <f>+J240-J241+J242-J243</f>
        <v>0</v>
      </c>
      <c r="L244" s="467">
        <f t="shared" si="138"/>
        <v>0</v>
      </c>
      <c r="M244" s="468"/>
      <c r="N244" s="468"/>
      <c r="O244" s="468"/>
      <c r="P244" s="468"/>
      <c r="Q244" s="468"/>
    </row>
    <row r="245" spans="2:17" x14ac:dyDescent="0.3">
      <c r="B245" s="101">
        <v>11.599999999999998</v>
      </c>
      <c r="C245" s="446" t="s">
        <v>483</v>
      </c>
      <c r="D245" s="467"/>
      <c r="E245" s="395">
        <f t="shared" ref="E245" si="139">AVERAGE(E240,E244)</f>
        <v>0</v>
      </c>
      <c r="F245" s="467">
        <f t="shared" si="136"/>
        <v>0</v>
      </c>
      <c r="G245" s="468"/>
      <c r="H245" s="395">
        <f t="shared" ref="H245" si="140">AVERAGE(H240,H244)</f>
        <v>0</v>
      </c>
      <c r="I245" s="467">
        <f t="shared" si="137"/>
        <v>0</v>
      </c>
      <c r="J245" s="468"/>
      <c r="K245" s="467"/>
      <c r="L245" s="467">
        <f t="shared" si="138"/>
        <v>0</v>
      </c>
      <c r="M245" s="468"/>
      <c r="N245" s="468"/>
      <c r="O245" s="468"/>
      <c r="P245" s="468"/>
      <c r="Q245" s="468"/>
    </row>
    <row r="246" spans="2:17" x14ac:dyDescent="0.3">
      <c r="B246" s="101">
        <v>11.699999999999998</v>
      </c>
      <c r="C246" s="446" t="s">
        <v>32</v>
      </c>
      <c r="D246" s="467"/>
      <c r="E246" s="467">
        <f>IFERROR(E247/E245,0)</f>
        <v>0</v>
      </c>
      <c r="F246" s="467">
        <f>IFERROR(F247/F245,0)</f>
        <v>0</v>
      </c>
      <c r="G246" s="468"/>
      <c r="H246" s="467">
        <f>IFERROR(H247/H245,0)</f>
        <v>0</v>
      </c>
      <c r="I246" s="467" t="e">
        <f>I247/I245</f>
        <v>#DIV/0!</v>
      </c>
      <c r="J246" s="468"/>
      <c r="K246" s="468" t="e">
        <f>J247/K245</f>
        <v>#DIV/0!</v>
      </c>
      <c r="L246" s="467" t="e">
        <f>L247/L245</f>
        <v>#DIV/0!</v>
      </c>
      <c r="M246" s="468"/>
      <c r="N246" s="468"/>
      <c r="O246" s="468"/>
      <c r="P246" s="468"/>
      <c r="Q246" s="468"/>
    </row>
    <row r="247" spans="2:17" x14ac:dyDescent="0.3">
      <c r="B247" s="101">
        <v>11.799999999999997</v>
      </c>
      <c r="C247" s="446" t="s">
        <v>33</v>
      </c>
      <c r="D247" s="467"/>
      <c r="E247" s="467">
        <v>0</v>
      </c>
      <c r="F247" s="467">
        <f t="shared" si="136"/>
        <v>0</v>
      </c>
      <c r="G247" s="468"/>
      <c r="H247" s="467">
        <v>0</v>
      </c>
      <c r="I247" s="467">
        <f t="shared" si="137"/>
        <v>0</v>
      </c>
      <c r="J247" s="468"/>
      <c r="K247" s="467"/>
      <c r="L247" s="467">
        <f t="shared" si="138"/>
        <v>0</v>
      </c>
      <c r="M247" s="468"/>
      <c r="N247" s="468"/>
      <c r="O247" s="468"/>
      <c r="P247" s="468"/>
      <c r="Q247" s="468"/>
    </row>
    <row r="248" spans="2:17" x14ac:dyDescent="0.3">
      <c r="B248" s="101"/>
      <c r="C248" s="446"/>
      <c r="D248" s="467"/>
      <c r="E248" s="467"/>
      <c r="F248" s="467"/>
      <c r="G248" s="468"/>
      <c r="H248" s="467"/>
      <c r="I248" s="467"/>
      <c r="J248" s="468"/>
      <c r="K248" s="467"/>
      <c r="L248" s="467"/>
      <c r="M248" s="468"/>
      <c r="N248" s="468"/>
      <c r="O248" s="468"/>
      <c r="P248" s="468"/>
      <c r="Q248" s="468"/>
    </row>
    <row r="249" spans="2:17" x14ac:dyDescent="0.3">
      <c r="B249" s="101">
        <v>12</v>
      </c>
      <c r="C249" s="610" t="s">
        <v>1428</v>
      </c>
      <c r="D249" s="467"/>
      <c r="E249" s="467"/>
      <c r="F249" s="467"/>
      <c r="G249" s="468"/>
      <c r="H249" s="467"/>
      <c r="I249" s="467"/>
      <c r="J249" s="468"/>
      <c r="K249" s="467"/>
      <c r="L249" s="467"/>
      <c r="M249" s="468"/>
      <c r="N249" s="468"/>
      <c r="O249" s="468"/>
      <c r="P249" s="468"/>
      <c r="Q249" s="468"/>
    </row>
    <row r="250" spans="2:17" x14ac:dyDescent="0.3">
      <c r="B250" s="101">
        <v>12.1</v>
      </c>
      <c r="C250" s="446" t="s">
        <v>29</v>
      </c>
      <c r="D250" s="467"/>
      <c r="E250" s="467">
        <v>0</v>
      </c>
      <c r="F250" s="467">
        <f t="shared" ref="F250:F257" si="141">E250-D250</f>
        <v>0</v>
      </c>
      <c r="G250" s="468"/>
      <c r="H250" s="467">
        <v>0</v>
      </c>
      <c r="I250" s="467">
        <f t="shared" ref="I250:I257" si="142">H250-G250</f>
        <v>0</v>
      </c>
      <c r="J250" s="468"/>
      <c r="K250" s="467"/>
      <c r="L250" s="467">
        <f t="shared" ref="L250:L257" si="143">K250-J250</f>
        <v>0</v>
      </c>
      <c r="M250" s="468"/>
      <c r="N250" s="468"/>
      <c r="O250" s="468"/>
      <c r="P250" s="468"/>
      <c r="Q250" s="468"/>
    </row>
    <row r="251" spans="2:17" x14ac:dyDescent="0.3">
      <c r="B251" s="101">
        <v>12.2</v>
      </c>
      <c r="C251" s="446" t="s">
        <v>405</v>
      </c>
      <c r="D251" s="467"/>
      <c r="E251" s="467">
        <v>0</v>
      </c>
      <c r="F251" s="467">
        <f t="shared" si="141"/>
        <v>0</v>
      </c>
      <c r="G251" s="468"/>
      <c r="H251" s="467">
        <v>0</v>
      </c>
      <c r="I251" s="467">
        <f t="shared" si="142"/>
        <v>0</v>
      </c>
      <c r="J251" s="468"/>
      <c r="K251" s="467"/>
      <c r="L251" s="467">
        <f t="shared" si="143"/>
        <v>0</v>
      </c>
      <c r="M251" s="468"/>
      <c r="N251" s="468"/>
      <c r="O251" s="468"/>
      <c r="P251" s="468"/>
      <c r="Q251" s="468"/>
    </row>
    <row r="252" spans="2:17" x14ac:dyDescent="0.3">
      <c r="B252" s="101">
        <v>12.299999999999999</v>
      </c>
      <c r="C252" s="446" t="s">
        <v>345</v>
      </c>
      <c r="D252" s="467"/>
      <c r="E252" s="467">
        <v>0</v>
      </c>
      <c r="F252" s="467">
        <f t="shared" si="141"/>
        <v>0</v>
      </c>
      <c r="G252" s="468"/>
      <c r="H252" s="467">
        <v>0</v>
      </c>
      <c r="I252" s="467">
        <f t="shared" si="142"/>
        <v>0</v>
      </c>
      <c r="J252" s="468"/>
      <c r="K252" s="467"/>
      <c r="L252" s="467">
        <f t="shared" si="143"/>
        <v>0</v>
      </c>
      <c r="M252" s="468"/>
      <c r="N252" s="468"/>
      <c r="O252" s="468"/>
      <c r="P252" s="468"/>
      <c r="Q252" s="468"/>
    </row>
    <row r="253" spans="2:17" x14ac:dyDescent="0.3">
      <c r="B253" s="101">
        <v>12.399999999999999</v>
      </c>
      <c r="C253" s="446" t="s">
        <v>30</v>
      </c>
      <c r="D253" s="467"/>
      <c r="E253" s="467">
        <v>0</v>
      </c>
      <c r="F253" s="467">
        <f t="shared" si="141"/>
        <v>0</v>
      </c>
      <c r="G253" s="468"/>
      <c r="H253" s="467">
        <v>0</v>
      </c>
      <c r="I253" s="467">
        <f t="shared" si="142"/>
        <v>0</v>
      </c>
      <c r="J253" s="468"/>
      <c r="K253" s="467"/>
      <c r="L253" s="467">
        <f t="shared" si="143"/>
        <v>0</v>
      </c>
      <c r="M253" s="468"/>
      <c r="N253" s="468"/>
      <c r="O253" s="468"/>
      <c r="P253" s="468"/>
      <c r="Q253" s="468"/>
    </row>
    <row r="254" spans="2:17" x14ac:dyDescent="0.3">
      <c r="B254" s="101">
        <v>12.499999999999998</v>
      </c>
      <c r="C254" s="446" t="s">
        <v>31</v>
      </c>
      <c r="D254" s="467"/>
      <c r="E254" s="467">
        <f>+E250-E251+E252-E253</f>
        <v>0</v>
      </c>
      <c r="F254" s="467">
        <f t="shared" si="141"/>
        <v>0</v>
      </c>
      <c r="G254" s="468"/>
      <c r="H254" s="467">
        <f>+H250-H251+H252-H253</f>
        <v>0</v>
      </c>
      <c r="I254" s="467">
        <f t="shared" si="142"/>
        <v>0</v>
      </c>
      <c r="J254" s="468"/>
      <c r="K254" s="468">
        <f>+J250-J251+J252-J253</f>
        <v>0</v>
      </c>
      <c r="L254" s="467">
        <f t="shared" si="143"/>
        <v>0</v>
      </c>
      <c r="M254" s="468"/>
      <c r="N254" s="468"/>
      <c r="O254" s="468"/>
      <c r="P254" s="468"/>
      <c r="Q254" s="468"/>
    </row>
    <row r="255" spans="2:17" x14ac:dyDescent="0.3">
      <c r="B255" s="101">
        <v>12.599999999999998</v>
      </c>
      <c r="C255" s="446" t="s">
        <v>483</v>
      </c>
      <c r="D255" s="467"/>
      <c r="E255" s="395">
        <f t="shared" ref="E255" si="144">AVERAGE(E250,E254)</f>
        <v>0</v>
      </c>
      <c r="F255" s="467">
        <f t="shared" si="141"/>
        <v>0</v>
      </c>
      <c r="G255" s="468"/>
      <c r="H255" s="395">
        <f t="shared" ref="H255" si="145">AVERAGE(H250,H254)</f>
        <v>0</v>
      </c>
      <c r="I255" s="467">
        <f t="shared" si="142"/>
        <v>0</v>
      </c>
      <c r="J255" s="468"/>
      <c r="K255" s="467"/>
      <c r="L255" s="467">
        <f t="shared" si="143"/>
        <v>0</v>
      </c>
      <c r="M255" s="468"/>
      <c r="N255" s="468"/>
      <c r="O255" s="468"/>
      <c r="P255" s="468"/>
      <c r="Q255" s="468"/>
    </row>
    <row r="256" spans="2:17" x14ac:dyDescent="0.3">
      <c r="B256" s="101">
        <v>12.699999999999998</v>
      </c>
      <c r="C256" s="446" t="s">
        <v>32</v>
      </c>
      <c r="D256" s="467"/>
      <c r="E256" s="467">
        <f>IFERROR(E257/E255,0)</f>
        <v>0</v>
      </c>
      <c r="F256" s="467">
        <f>IFERROR(F257/F255,0)</f>
        <v>0</v>
      </c>
      <c r="G256" s="468"/>
      <c r="H256" s="467">
        <f>IFERROR(H257/H255,0)</f>
        <v>0</v>
      </c>
      <c r="I256" s="467" t="e">
        <f>I257/I255</f>
        <v>#DIV/0!</v>
      </c>
      <c r="J256" s="468"/>
      <c r="K256" s="468" t="e">
        <f>J257/K255</f>
        <v>#DIV/0!</v>
      </c>
      <c r="L256" s="467" t="e">
        <f>L257/L255</f>
        <v>#DIV/0!</v>
      </c>
      <c r="M256" s="468"/>
      <c r="N256" s="468"/>
      <c r="O256" s="468"/>
      <c r="P256" s="468"/>
      <c r="Q256" s="468"/>
    </row>
    <row r="257" spans="2:17" x14ac:dyDescent="0.3">
      <c r="B257" s="101">
        <v>12.799999999999997</v>
      </c>
      <c r="C257" s="446" t="s">
        <v>33</v>
      </c>
      <c r="D257" s="467"/>
      <c r="E257" s="467">
        <v>0</v>
      </c>
      <c r="F257" s="467">
        <f t="shared" si="141"/>
        <v>0</v>
      </c>
      <c r="G257" s="468"/>
      <c r="H257" s="467">
        <v>0</v>
      </c>
      <c r="I257" s="467">
        <f t="shared" si="142"/>
        <v>0</v>
      </c>
      <c r="J257" s="468"/>
      <c r="K257" s="467"/>
      <c r="L257" s="467">
        <f t="shared" si="143"/>
        <v>0</v>
      </c>
      <c r="M257" s="468"/>
      <c r="N257" s="468"/>
      <c r="O257" s="468"/>
      <c r="P257" s="468"/>
      <c r="Q257" s="468"/>
    </row>
    <row r="258" spans="2:17" x14ac:dyDescent="0.3">
      <c r="B258" s="101"/>
      <c r="C258" s="446" t="s">
        <v>24</v>
      </c>
      <c r="D258" s="467"/>
      <c r="E258" s="467"/>
      <c r="F258" s="467"/>
      <c r="G258" s="468"/>
      <c r="H258" s="468"/>
      <c r="I258" s="468"/>
      <c r="J258" s="468"/>
      <c r="K258" s="468"/>
      <c r="L258" s="468"/>
      <c r="M258" s="468"/>
      <c r="N258" s="468"/>
      <c r="O258" s="468"/>
      <c r="P258" s="468"/>
      <c r="Q258" s="468"/>
    </row>
    <row r="259" spans="2:17" x14ac:dyDescent="0.3">
      <c r="B259" s="101"/>
      <c r="C259" s="446" t="s">
        <v>24</v>
      </c>
      <c r="D259" s="467"/>
      <c r="E259" s="467"/>
      <c r="F259" s="467"/>
      <c r="G259" s="468"/>
      <c r="H259" s="468"/>
      <c r="I259" s="468"/>
      <c r="J259" s="468"/>
      <c r="K259" s="468"/>
      <c r="L259" s="468"/>
      <c r="M259" s="468"/>
      <c r="N259" s="468"/>
      <c r="O259" s="468"/>
      <c r="P259" s="468"/>
      <c r="Q259" s="468"/>
    </row>
    <row r="260" spans="2:17" x14ac:dyDescent="0.3">
      <c r="B260" s="101"/>
      <c r="C260" s="446" t="s">
        <v>24</v>
      </c>
      <c r="D260" s="467"/>
      <c r="E260" s="467"/>
      <c r="F260" s="467"/>
      <c r="G260" s="468"/>
      <c r="H260" s="468"/>
      <c r="I260" s="468"/>
      <c r="J260" s="468"/>
      <c r="K260" s="468"/>
      <c r="L260" s="468"/>
      <c r="M260" s="468"/>
      <c r="N260" s="468"/>
      <c r="O260" s="468"/>
      <c r="P260" s="468"/>
      <c r="Q260" s="468"/>
    </row>
    <row r="261" spans="2:17" x14ac:dyDescent="0.3">
      <c r="B261" s="101"/>
      <c r="C261" s="446"/>
      <c r="D261" s="467"/>
      <c r="E261" s="467"/>
      <c r="F261" s="467"/>
      <c r="G261" s="468"/>
      <c r="H261" s="468"/>
      <c r="I261" s="468"/>
      <c r="J261" s="468"/>
      <c r="K261" s="468"/>
      <c r="L261" s="468"/>
      <c r="M261" s="468"/>
      <c r="N261" s="468"/>
      <c r="O261" s="468"/>
      <c r="P261" s="468"/>
      <c r="Q261" s="468"/>
    </row>
    <row r="262" spans="2:17" x14ac:dyDescent="0.3">
      <c r="B262" s="101">
        <v>13</v>
      </c>
      <c r="C262" s="446" t="s">
        <v>271</v>
      </c>
      <c r="D262" s="467"/>
      <c r="E262" s="467"/>
      <c r="F262" s="467"/>
      <c r="G262" s="468"/>
      <c r="H262" s="468"/>
      <c r="I262" s="468"/>
      <c r="J262" s="468"/>
      <c r="K262" s="468"/>
      <c r="L262" s="468"/>
      <c r="M262" s="468"/>
      <c r="N262" s="468"/>
      <c r="O262" s="468"/>
      <c r="P262" s="468"/>
      <c r="Q262" s="468"/>
    </row>
    <row r="263" spans="2:17" x14ac:dyDescent="0.3">
      <c r="B263" s="101">
        <f t="shared" ref="B263:B270" si="146">B262+0.1</f>
        <v>13.1</v>
      </c>
      <c r="C263" s="446" t="s">
        <v>29</v>
      </c>
      <c r="D263" s="467"/>
      <c r="E263" s="467">
        <f>E140+E150+E160+E170+E180+E190+E200+E210+E220+E230+E240+E250</f>
        <v>29.389165671808975</v>
      </c>
      <c r="F263" s="467"/>
      <c r="G263" s="468"/>
      <c r="H263" s="468">
        <f>H140+H150+H160+H170+H180+H190+H200+H210+H220+H230+H240+H250</f>
        <v>31.401422971808973</v>
      </c>
      <c r="I263" s="468"/>
      <c r="J263" s="468"/>
      <c r="K263" s="468">
        <f>K140+K150+K160+K170+K180+K190+K200+K210+K220+K230+K240+K250</f>
        <v>0</v>
      </c>
      <c r="L263" s="468"/>
      <c r="M263" s="468">
        <f>M140+M150+M160+M170+M180+M190+M200+M210+M220+M230+M240+M250</f>
        <v>0</v>
      </c>
      <c r="N263" s="468">
        <f>N140+N150+N160+N170+N180+N190+N200+N210+N220+N230+N240+N250</f>
        <v>0</v>
      </c>
      <c r="O263" s="468">
        <f t="shared" ref="O263:Q263" si="147">O140+O150+O160+O170+O180+O190+O200+O210+O220+O230+O240+O250</f>
        <v>0</v>
      </c>
      <c r="P263" s="468">
        <f t="shared" si="147"/>
        <v>0</v>
      </c>
      <c r="Q263" s="468">
        <f t="shared" si="147"/>
        <v>0</v>
      </c>
    </row>
    <row r="264" spans="2:17" x14ac:dyDescent="0.3">
      <c r="B264" s="101">
        <f t="shared" si="146"/>
        <v>13.2</v>
      </c>
      <c r="C264" s="446" t="s">
        <v>405</v>
      </c>
      <c r="D264" s="467"/>
      <c r="E264" s="467">
        <f t="shared" ref="E264:E270" si="148">E141+E151+E161+E171+E181+E191+E201+E211+E221+E231+E241+E251</f>
        <v>0</v>
      </c>
      <c r="F264" s="467"/>
      <c r="G264" s="468"/>
      <c r="H264" s="468">
        <f t="shared" ref="H264:H270" si="149">H141+H151+H161+H171+H181+H191+H201+H211+H221+H231+H241+H251</f>
        <v>0</v>
      </c>
      <c r="I264" s="468"/>
      <c r="J264" s="468"/>
      <c r="K264" s="468">
        <f t="shared" ref="K264:K270" si="150">K141+K151+K161+K171+K181+K191+K201+K211+K221+K231+K241+K251</f>
        <v>0</v>
      </c>
      <c r="L264" s="468"/>
      <c r="M264" s="468">
        <f t="shared" ref="M264:N270" si="151">M141+M151+M161+M171+M181+M191+M201+M211+M221+M231+M241+M251</f>
        <v>0</v>
      </c>
      <c r="N264" s="468">
        <f t="shared" si="151"/>
        <v>0</v>
      </c>
      <c r="O264" s="468">
        <f t="shared" ref="O264:Q264" si="152">O141+O151+O161+O171+O181+O191+O201+O211+O221+O231+O241+O251</f>
        <v>0</v>
      </c>
      <c r="P264" s="468">
        <f t="shared" si="152"/>
        <v>0</v>
      </c>
      <c r="Q264" s="468">
        <f t="shared" si="152"/>
        <v>0</v>
      </c>
    </row>
    <row r="265" spans="2:17" x14ac:dyDescent="0.3">
      <c r="B265" s="101">
        <f t="shared" si="146"/>
        <v>13.299999999999999</v>
      </c>
      <c r="C265" s="446" t="s">
        <v>345</v>
      </c>
      <c r="D265" s="467"/>
      <c r="E265" s="467">
        <f t="shared" si="148"/>
        <v>4.3777157999999998</v>
      </c>
      <c r="F265" s="467"/>
      <c r="G265" s="468"/>
      <c r="H265" s="468">
        <f t="shared" si="149"/>
        <v>0.60034719999999997</v>
      </c>
      <c r="I265" s="468"/>
      <c r="J265" s="468"/>
      <c r="K265" s="468">
        <f t="shared" si="150"/>
        <v>0</v>
      </c>
      <c r="L265" s="468"/>
      <c r="M265" s="468">
        <f t="shared" si="151"/>
        <v>0</v>
      </c>
      <c r="N265" s="468">
        <f t="shared" si="151"/>
        <v>0</v>
      </c>
      <c r="O265" s="468">
        <f t="shared" ref="O265:Q265" si="153">O142+O152+O162+O172+O182+O192+O202+O212+O222+O232+O242+O252</f>
        <v>0</v>
      </c>
      <c r="P265" s="468">
        <f t="shared" si="153"/>
        <v>0</v>
      </c>
      <c r="Q265" s="468">
        <f t="shared" si="153"/>
        <v>0</v>
      </c>
    </row>
    <row r="266" spans="2:17" x14ac:dyDescent="0.3">
      <c r="B266" s="101">
        <f t="shared" si="146"/>
        <v>13.399999999999999</v>
      </c>
      <c r="C266" s="446" t="s">
        <v>30</v>
      </c>
      <c r="D266" s="467"/>
      <c r="E266" s="467">
        <f t="shared" si="148"/>
        <v>2.3654585000000004</v>
      </c>
      <c r="F266" s="467"/>
      <c r="G266" s="468"/>
      <c r="H266" s="468">
        <f t="shared" si="149"/>
        <v>3.3536855870000006</v>
      </c>
      <c r="I266" s="468"/>
      <c r="J266" s="468"/>
      <c r="K266" s="468">
        <f t="shared" si="150"/>
        <v>0</v>
      </c>
      <c r="L266" s="468"/>
      <c r="M266" s="468">
        <f t="shared" si="151"/>
        <v>0</v>
      </c>
      <c r="N266" s="468">
        <f t="shared" si="151"/>
        <v>0</v>
      </c>
      <c r="O266" s="468">
        <f t="shared" ref="O266:Q266" si="154">O143+O153+O163+O173+O183+O193+O203+O213+O223+O233+O243+O253</f>
        <v>0</v>
      </c>
      <c r="P266" s="468">
        <f t="shared" si="154"/>
        <v>0</v>
      </c>
      <c r="Q266" s="468">
        <f t="shared" si="154"/>
        <v>0</v>
      </c>
    </row>
    <row r="267" spans="2:17" x14ac:dyDescent="0.3">
      <c r="B267" s="101">
        <f t="shared" si="146"/>
        <v>13.499999999999998</v>
      </c>
      <c r="C267" s="446" t="s">
        <v>31</v>
      </c>
      <c r="D267" s="467"/>
      <c r="E267" s="467">
        <f t="shared" si="148"/>
        <v>31.401422971808973</v>
      </c>
      <c r="F267" s="467"/>
      <c r="G267" s="468"/>
      <c r="H267" s="468">
        <f t="shared" si="149"/>
        <v>28.64808458480897</v>
      </c>
      <c r="I267" s="468"/>
      <c r="J267" s="468"/>
      <c r="K267" s="468">
        <f t="shared" si="150"/>
        <v>0</v>
      </c>
      <c r="L267" s="468"/>
      <c r="M267" s="468">
        <f t="shared" si="151"/>
        <v>0</v>
      </c>
      <c r="N267" s="468">
        <f t="shared" si="151"/>
        <v>0</v>
      </c>
      <c r="O267" s="468">
        <f t="shared" ref="O267:Q267" si="155">O144+O154+O164+O174+O184+O194+O204+O214+O224+O234+O244+O254</f>
        <v>0</v>
      </c>
      <c r="P267" s="468">
        <f t="shared" si="155"/>
        <v>0</v>
      </c>
      <c r="Q267" s="468">
        <f t="shared" si="155"/>
        <v>0</v>
      </c>
    </row>
    <row r="268" spans="2:17" x14ac:dyDescent="0.3">
      <c r="B268" s="101">
        <f t="shared" si="146"/>
        <v>13.599999999999998</v>
      </c>
      <c r="C268" s="446" t="s">
        <v>483</v>
      </c>
      <c r="D268" s="467"/>
      <c r="E268" s="395">
        <f t="shared" ref="E268" si="156">AVERAGE(E263,E267)</f>
        <v>30.395294321808976</v>
      </c>
      <c r="F268" s="467">
        <f t="shared" ref="F268" si="157">E268-D268</f>
        <v>30.395294321808976</v>
      </c>
      <c r="G268" s="468"/>
      <c r="H268" s="468">
        <f t="shared" si="149"/>
        <v>30.024753778308973</v>
      </c>
      <c r="I268" s="468"/>
      <c r="J268" s="468"/>
      <c r="K268" s="468">
        <f t="shared" si="150"/>
        <v>0</v>
      </c>
      <c r="L268" s="468"/>
      <c r="M268" s="468">
        <f t="shared" si="151"/>
        <v>0</v>
      </c>
      <c r="N268" s="468">
        <f t="shared" si="151"/>
        <v>0</v>
      </c>
      <c r="O268" s="468">
        <f t="shared" ref="O268:Q268" si="158">O145+O155+O165+O175+O185+O195+O205+O215+O225+O235+O245+O255</f>
        <v>0</v>
      </c>
      <c r="P268" s="468">
        <f t="shared" si="158"/>
        <v>0</v>
      </c>
      <c r="Q268" s="468">
        <f t="shared" si="158"/>
        <v>0</v>
      </c>
    </row>
    <row r="269" spans="2:17" x14ac:dyDescent="0.3">
      <c r="B269" s="101">
        <f t="shared" si="146"/>
        <v>13.699999999999998</v>
      </c>
      <c r="C269" s="446" t="s">
        <v>32</v>
      </c>
      <c r="D269" s="467"/>
      <c r="E269" s="640">
        <f>IFERROR(E270/E268,0)</f>
        <v>0.10540483574231072</v>
      </c>
      <c r="F269" s="467">
        <f>IFERROR(F270/F268,0)</f>
        <v>0</v>
      </c>
      <c r="G269" s="467" t="e">
        <f t="shared" ref="G269:N269" si="159">G270/G268</f>
        <v>#DIV/0!</v>
      </c>
      <c r="H269" s="467">
        <f t="shared" si="159"/>
        <v>0.10380369415734163</v>
      </c>
      <c r="I269" s="467" t="e">
        <f t="shared" si="159"/>
        <v>#DIV/0!</v>
      </c>
      <c r="J269" s="467" t="e">
        <f t="shared" si="159"/>
        <v>#DIV/0!</v>
      </c>
      <c r="K269" s="467" t="e">
        <f t="shared" si="159"/>
        <v>#DIV/0!</v>
      </c>
      <c r="L269" s="467" t="e">
        <f t="shared" si="159"/>
        <v>#DIV/0!</v>
      </c>
      <c r="M269" s="467" t="e">
        <f t="shared" ref="M269" si="160">M270/M268</f>
        <v>#DIV/0!</v>
      </c>
      <c r="N269" s="467" t="e">
        <f t="shared" si="159"/>
        <v>#DIV/0!</v>
      </c>
      <c r="O269" s="467" t="e">
        <f t="shared" ref="O269:Q269" si="161">O270/O268</f>
        <v>#DIV/0!</v>
      </c>
      <c r="P269" s="467" t="e">
        <f t="shared" si="161"/>
        <v>#DIV/0!</v>
      </c>
      <c r="Q269" s="467" t="e">
        <f t="shared" si="161"/>
        <v>#DIV/0!</v>
      </c>
    </row>
    <row r="270" spans="2:17" x14ac:dyDescent="0.3">
      <c r="B270" s="101">
        <f t="shared" si="146"/>
        <v>13.799999999999997</v>
      </c>
      <c r="C270" s="446" t="s">
        <v>33</v>
      </c>
      <c r="D270" s="467"/>
      <c r="E270" s="467">
        <f t="shared" si="148"/>
        <v>3.2038110053294648</v>
      </c>
      <c r="F270" s="467"/>
      <c r="G270" s="468"/>
      <c r="H270" s="468">
        <f t="shared" si="149"/>
        <v>3.1166803583530722</v>
      </c>
      <c r="I270" s="468"/>
      <c r="J270" s="468"/>
      <c r="K270" s="468">
        <f t="shared" si="150"/>
        <v>0</v>
      </c>
      <c r="L270" s="468"/>
      <c r="M270" s="468">
        <f t="shared" si="151"/>
        <v>0</v>
      </c>
      <c r="N270" s="468">
        <f t="shared" si="151"/>
        <v>0</v>
      </c>
      <c r="O270" s="468">
        <f t="shared" ref="O270:Q270" si="162">O147+O157+O167+O177+O187+O197+O207+O217+O227+O237+O247+O257</f>
        <v>0</v>
      </c>
      <c r="P270" s="468">
        <f t="shared" si="162"/>
        <v>0</v>
      </c>
      <c r="Q270" s="468">
        <f t="shared" si="162"/>
        <v>0</v>
      </c>
    </row>
    <row r="271" spans="2:17" x14ac:dyDescent="0.3">
      <c r="B271" s="101"/>
      <c r="C271" s="446"/>
      <c r="D271" s="467"/>
      <c r="E271" s="467"/>
      <c r="F271" s="467"/>
      <c r="G271" s="468"/>
      <c r="H271" s="468"/>
      <c r="I271" s="468"/>
      <c r="J271" s="468"/>
      <c r="K271" s="468"/>
      <c r="L271" s="468"/>
      <c r="M271" s="468"/>
      <c r="N271" s="468"/>
      <c r="O271" s="468"/>
      <c r="P271" s="468"/>
      <c r="Q271" s="468"/>
    </row>
    <row r="272" spans="2:17" x14ac:dyDescent="0.3">
      <c r="B272" s="101"/>
      <c r="C272" s="446"/>
      <c r="D272" s="467"/>
      <c r="E272" s="467"/>
      <c r="F272" s="467"/>
      <c r="G272" s="468"/>
      <c r="H272" s="468"/>
      <c r="I272" s="468"/>
      <c r="J272" s="468"/>
      <c r="K272" s="468"/>
      <c r="L272" s="468"/>
      <c r="M272" s="468"/>
      <c r="N272" s="468"/>
      <c r="O272" s="468"/>
      <c r="P272" s="468"/>
      <c r="Q272" s="468"/>
    </row>
    <row r="273" spans="2:20" x14ac:dyDescent="0.3">
      <c r="B273" s="101">
        <v>14</v>
      </c>
      <c r="C273" s="446" t="s">
        <v>34</v>
      </c>
      <c r="D273" s="467"/>
      <c r="E273" s="467">
        <f>E270</f>
        <v>3.2038110053294648</v>
      </c>
      <c r="F273" s="467"/>
      <c r="G273" s="468"/>
      <c r="H273" s="468">
        <f>H270</f>
        <v>3.1166803583530722</v>
      </c>
      <c r="I273" s="468"/>
      <c r="J273" s="468"/>
      <c r="K273" s="468">
        <f>K270</f>
        <v>0</v>
      </c>
      <c r="L273" s="468"/>
      <c r="M273" s="468">
        <f>M270</f>
        <v>0</v>
      </c>
      <c r="N273" s="468">
        <f>N270</f>
        <v>0</v>
      </c>
      <c r="O273" s="468">
        <f t="shared" ref="O273:Q273" si="163">O270</f>
        <v>0</v>
      </c>
      <c r="P273" s="468">
        <f t="shared" si="163"/>
        <v>0</v>
      </c>
      <c r="Q273" s="468">
        <f t="shared" si="163"/>
        <v>0</v>
      </c>
    </row>
    <row r="274" spans="2:20" x14ac:dyDescent="0.3">
      <c r="B274" s="101">
        <v>15</v>
      </c>
      <c r="C274" s="446" t="s">
        <v>35</v>
      </c>
      <c r="D274" s="467"/>
      <c r="E274" s="467"/>
      <c r="F274" s="467"/>
      <c r="G274" s="468"/>
      <c r="H274" s="468"/>
      <c r="I274" s="468"/>
      <c r="J274" s="468"/>
      <c r="K274" s="468"/>
      <c r="L274" s="468"/>
      <c r="M274" s="468"/>
      <c r="N274" s="468"/>
      <c r="O274" s="468"/>
      <c r="P274" s="468"/>
      <c r="Q274" s="468"/>
    </row>
    <row r="275" spans="2:20" x14ac:dyDescent="0.3">
      <c r="B275" s="101">
        <v>16</v>
      </c>
      <c r="C275" s="446" t="s">
        <v>36</v>
      </c>
      <c r="D275" s="467"/>
      <c r="E275" s="467">
        <f>E273-E274</f>
        <v>3.2038110053294648</v>
      </c>
      <c r="F275" s="467"/>
      <c r="G275" s="468"/>
      <c r="H275" s="468">
        <f>H273-H274</f>
        <v>3.1166803583530722</v>
      </c>
      <c r="I275" s="468"/>
      <c r="J275" s="468"/>
      <c r="K275" s="468">
        <f>K273-K274</f>
        <v>0</v>
      </c>
      <c r="L275" s="468"/>
      <c r="M275" s="468">
        <f>M273-M274</f>
        <v>0</v>
      </c>
      <c r="N275" s="468">
        <f>N273-N274</f>
        <v>0</v>
      </c>
      <c r="O275" s="468">
        <f t="shared" ref="O275:Q275" si="164">O273-O274</f>
        <v>0</v>
      </c>
      <c r="P275" s="468">
        <f t="shared" si="164"/>
        <v>0</v>
      </c>
      <c r="Q275" s="468">
        <f t="shared" si="164"/>
        <v>0</v>
      </c>
    </row>
    <row r="276" spans="2:20" x14ac:dyDescent="0.3">
      <c r="B276" s="101"/>
      <c r="C276" s="446"/>
      <c r="D276" s="455"/>
      <c r="E276" s="455"/>
      <c r="F276" s="455"/>
      <c r="G276" s="455"/>
      <c r="H276" s="455"/>
      <c r="I276" s="455"/>
      <c r="J276" s="455"/>
      <c r="K276" s="455"/>
      <c r="L276" s="455"/>
      <c r="M276" s="455"/>
      <c r="N276" s="455"/>
      <c r="O276" s="455"/>
      <c r="P276" s="455"/>
      <c r="Q276" s="455"/>
    </row>
    <row r="277" spans="2:20" x14ac:dyDescent="0.25">
      <c r="N277" s="13"/>
    </row>
    <row r="278" spans="2:20" ht="17.5" x14ac:dyDescent="0.35">
      <c r="B278" s="442"/>
      <c r="C278" s="449" t="s">
        <v>843</v>
      </c>
      <c r="D278" s="456"/>
      <c r="E278" s="456"/>
      <c r="F278" s="456"/>
      <c r="G278" s="456"/>
      <c r="H278" s="456"/>
      <c r="I278" s="456"/>
      <c r="J278" s="457"/>
      <c r="K278" s="457"/>
      <c r="L278" s="457"/>
      <c r="M278" s="457"/>
      <c r="N278" s="457"/>
      <c r="O278" s="457"/>
      <c r="P278" s="457"/>
      <c r="Q278" s="457"/>
      <c r="R278" s="457"/>
      <c r="S278" s="457"/>
      <c r="T278" s="457"/>
    </row>
    <row r="279" spans="2:20" x14ac:dyDescent="0.25">
      <c r="B279" s="13"/>
      <c r="C279" s="458"/>
      <c r="D279" s="458"/>
      <c r="E279" s="458"/>
      <c r="F279" s="458"/>
      <c r="G279" s="458"/>
      <c r="H279" s="458"/>
      <c r="I279" s="458"/>
      <c r="N279" s="13"/>
      <c r="P279" s="21" t="s">
        <v>10</v>
      </c>
    </row>
    <row r="280" spans="2:20" x14ac:dyDescent="0.25">
      <c r="B280" s="1471" t="s">
        <v>343</v>
      </c>
      <c r="C280" s="1668" t="s">
        <v>26</v>
      </c>
      <c r="D280" s="1583" t="s">
        <v>519</v>
      </c>
      <c r="E280" s="1584"/>
      <c r="F280" s="1585"/>
      <c r="G280" s="1583" t="s">
        <v>520</v>
      </c>
      <c r="H280" s="1584"/>
      <c r="I280" s="1585"/>
      <c r="J280" s="1583"/>
      <c r="K280" s="1584"/>
      <c r="L280" s="1585"/>
      <c r="M280" s="601" t="s">
        <v>940</v>
      </c>
      <c r="N280" s="601" t="s">
        <v>941</v>
      </c>
      <c r="O280" s="589" t="s">
        <v>945</v>
      </c>
      <c r="P280" s="589" t="s">
        <v>942</v>
      </c>
      <c r="Q280" s="589" t="s">
        <v>944</v>
      </c>
      <c r="R280" s="1497" t="s">
        <v>27</v>
      </c>
    </row>
    <row r="281" spans="2:20" ht="28" x14ac:dyDescent="0.25">
      <c r="B281" s="1472"/>
      <c r="C281" s="1669"/>
      <c r="D281" s="452" t="s">
        <v>458</v>
      </c>
      <c r="E281" s="453" t="s">
        <v>79</v>
      </c>
      <c r="F281" s="453" t="s">
        <v>459</v>
      </c>
      <c r="G281" s="345" t="s">
        <v>458</v>
      </c>
      <c r="H281" s="444" t="s">
        <v>79</v>
      </c>
      <c r="I281" s="444" t="s">
        <v>459</v>
      </c>
      <c r="J281" s="444" t="s">
        <v>458</v>
      </c>
      <c r="K281" s="444" t="s">
        <v>80</v>
      </c>
      <c r="L281" s="444" t="s">
        <v>460</v>
      </c>
      <c r="M281" s="591" t="s">
        <v>943</v>
      </c>
      <c r="N281" s="591" t="s">
        <v>943</v>
      </c>
      <c r="O281" s="591" t="s">
        <v>943</v>
      </c>
      <c r="P281" s="591" t="s">
        <v>943</v>
      </c>
      <c r="Q281" s="591" t="s">
        <v>943</v>
      </c>
      <c r="R281" s="1497"/>
    </row>
    <row r="282" spans="2:20" x14ac:dyDescent="0.25">
      <c r="B282" s="1556"/>
      <c r="C282" s="1670"/>
      <c r="D282" s="591" t="s">
        <v>81</v>
      </c>
      <c r="E282" s="591" t="s">
        <v>82</v>
      </c>
      <c r="F282" s="591" t="s">
        <v>692</v>
      </c>
      <c r="G282" s="591" t="s">
        <v>397</v>
      </c>
      <c r="H282" s="591" t="s">
        <v>414</v>
      </c>
      <c r="I282" s="591" t="s">
        <v>465</v>
      </c>
      <c r="J282" s="604" t="s">
        <v>415</v>
      </c>
      <c r="K282" s="604" t="s">
        <v>416</v>
      </c>
      <c r="L282" s="604" t="s">
        <v>523</v>
      </c>
      <c r="M282" s="591" t="s">
        <v>670</v>
      </c>
      <c r="N282" s="591" t="s">
        <v>604</v>
      </c>
      <c r="O282" s="591" t="s">
        <v>605</v>
      </c>
      <c r="P282" s="591" t="s">
        <v>606</v>
      </c>
      <c r="Q282" s="591" t="s">
        <v>607</v>
      </c>
      <c r="R282" s="1498"/>
    </row>
    <row r="283" spans="2:20" x14ac:dyDescent="0.3">
      <c r="B283" s="101"/>
      <c r="C283" s="459"/>
      <c r="D283" s="447"/>
      <c r="E283" s="459"/>
      <c r="F283" s="459"/>
      <c r="G283" s="23"/>
      <c r="H283" s="23"/>
      <c r="I283" s="23"/>
      <c r="J283" s="23"/>
      <c r="K283" s="23"/>
      <c r="L283" s="23"/>
      <c r="M283" s="23"/>
      <c r="N283" s="23"/>
      <c r="O283" s="23"/>
      <c r="P283" s="23"/>
      <c r="Q283" s="23"/>
      <c r="R283" s="23"/>
    </row>
    <row r="284" spans="2:20" x14ac:dyDescent="0.3">
      <c r="B284" s="101">
        <v>1</v>
      </c>
      <c r="C284" s="446" t="s">
        <v>427</v>
      </c>
      <c r="D284" s="455"/>
      <c r="E284" s="455"/>
      <c r="F284" s="455"/>
      <c r="G284" s="455"/>
      <c r="H284" s="455"/>
      <c r="I284" s="455"/>
      <c r="J284" s="455"/>
      <c r="K284" s="455"/>
      <c r="L284" s="455"/>
      <c r="M284" s="455"/>
      <c r="N284" s="455"/>
      <c r="O284" s="455"/>
      <c r="P284" s="455"/>
      <c r="Q284" s="455"/>
      <c r="R284" s="455"/>
    </row>
    <row r="285" spans="2:20" x14ac:dyDescent="0.3">
      <c r="B285" s="101">
        <v>1.1000000000000001</v>
      </c>
      <c r="C285" s="446" t="s">
        <v>29</v>
      </c>
      <c r="D285" s="455"/>
      <c r="E285" s="455"/>
      <c r="F285" s="455"/>
      <c r="G285" s="455"/>
      <c r="H285" s="455"/>
      <c r="I285" s="455"/>
      <c r="J285" s="455"/>
      <c r="K285" s="455"/>
      <c r="L285" s="455"/>
      <c r="M285" s="455"/>
      <c r="N285" s="455"/>
      <c r="O285" s="455"/>
      <c r="P285" s="455"/>
      <c r="Q285" s="455"/>
      <c r="R285" s="455"/>
    </row>
    <row r="286" spans="2:20" x14ac:dyDescent="0.3">
      <c r="B286" s="101">
        <f t="shared" ref="B286:B292" si="165">B285+0.1</f>
        <v>1.2000000000000002</v>
      </c>
      <c r="C286" s="446" t="s">
        <v>405</v>
      </c>
      <c r="D286" s="455"/>
      <c r="E286" s="455"/>
      <c r="F286" s="455"/>
      <c r="G286" s="455"/>
      <c r="H286" s="455"/>
      <c r="I286" s="455"/>
      <c r="J286" s="455"/>
      <c r="K286" s="455"/>
      <c r="L286" s="455"/>
      <c r="M286" s="455"/>
      <c r="N286" s="455"/>
      <c r="O286" s="455"/>
      <c r="P286" s="455"/>
      <c r="Q286" s="455"/>
      <c r="R286" s="455"/>
    </row>
    <row r="287" spans="2:20" x14ac:dyDescent="0.3">
      <c r="B287" s="101">
        <f t="shared" si="165"/>
        <v>1.3000000000000003</v>
      </c>
      <c r="C287" s="446" t="s">
        <v>345</v>
      </c>
      <c r="D287" s="455"/>
      <c r="E287" s="455"/>
      <c r="F287" s="455"/>
      <c r="G287" s="455"/>
      <c r="H287" s="455"/>
      <c r="I287" s="455"/>
      <c r="J287" s="455"/>
      <c r="K287" s="455"/>
      <c r="L287" s="455"/>
      <c r="M287" s="455"/>
      <c r="N287" s="455"/>
      <c r="O287" s="455"/>
      <c r="P287" s="455"/>
      <c r="Q287" s="455"/>
      <c r="R287" s="455"/>
    </row>
    <row r="288" spans="2:20" x14ac:dyDescent="0.3">
      <c r="B288" s="101">
        <f t="shared" si="165"/>
        <v>1.4000000000000004</v>
      </c>
      <c r="C288" s="446" t="s">
        <v>30</v>
      </c>
      <c r="D288" s="455"/>
      <c r="E288" s="455"/>
      <c r="F288" s="455"/>
      <c r="G288" s="455"/>
      <c r="H288" s="455"/>
      <c r="I288" s="455"/>
      <c r="J288" s="455"/>
      <c r="K288" s="455"/>
      <c r="L288" s="455"/>
      <c r="M288" s="455"/>
      <c r="N288" s="455"/>
      <c r="O288" s="455"/>
      <c r="P288" s="455"/>
      <c r="Q288" s="455"/>
      <c r="R288" s="455"/>
    </row>
    <row r="289" spans="2:18" x14ac:dyDescent="0.3">
      <c r="B289" s="101">
        <f t="shared" si="165"/>
        <v>1.5000000000000004</v>
      </c>
      <c r="C289" s="446" t="s">
        <v>31</v>
      </c>
      <c r="D289" s="455"/>
      <c r="E289" s="455">
        <f>+E285-E286+E287-E288</f>
        <v>0</v>
      </c>
      <c r="F289" s="455"/>
      <c r="G289" s="455"/>
      <c r="H289" s="455">
        <f>+I285-I286+I287-I288</f>
        <v>0</v>
      </c>
      <c r="I289" s="455"/>
      <c r="J289" s="455"/>
      <c r="K289" s="455">
        <f>+K285-K286+K287-K288</f>
        <v>0</v>
      </c>
      <c r="L289" s="455"/>
      <c r="M289" s="455"/>
      <c r="N289" s="455"/>
      <c r="O289" s="455"/>
      <c r="P289" s="455"/>
      <c r="Q289" s="455"/>
      <c r="R289" s="455"/>
    </row>
    <row r="290" spans="2:18" x14ac:dyDescent="0.3">
      <c r="B290" s="101">
        <f t="shared" si="165"/>
        <v>1.6000000000000005</v>
      </c>
      <c r="C290" s="446" t="s">
        <v>483</v>
      </c>
      <c r="D290" s="455"/>
      <c r="E290" s="455"/>
      <c r="F290" s="455"/>
      <c r="G290" s="455"/>
      <c r="H290" s="455"/>
      <c r="I290" s="455"/>
      <c r="J290" s="455"/>
      <c r="K290" s="455"/>
      <c r="L290" s="455"/>
      <c r="M290" s="455"/>
      <c r="N290" s="455"/>
      <c r="O290" s="455"/>
      <c r="P290" s="455"/>
      <c r="Q290" s="455"/>
      <c r="R290" s="455"/>
    </row>
    <row r="291" spans="2:18" x14ac:dyDescent="0.3">
      <c r="B291" s="101">
        <f t="shared" si="165"/>
        <v>1.7000000000000006</v>
      </c>
      <c r="C291" s="446" t="s">
        <v>32</v>
      </c>
      <c r="D291" s="455"/>
      <c r="E291" s="455" t="e">
        <f>E292/E290</f>
        <v>#DIV/0!</v>
      </c>
      <c r="F291" s="455"/>
      <c r="G291" s="455"/>
      <c r="H291" s="455" t="e">
        <f>I292/H290</f>
        <v>#DIV/0!</v>
      </c>
      <c r="I291" s="455"/>
      <c r="J291" s="455"/>
      <c r="K291" s="455" t="e">
        <f>K292/K290</f>
        <v>#DIV/0!</v>
      </c>
      <c r="L291" s="455"/>
      <c r="M291" s="455"/>
      <c r="N291" s="455"/>
      <c r="O291" s="455"/>
      <c r="P291" s="455"/>
      <c r="Q291" s="455"/>
      <c r="R291" s="455"/>
    </row>
    <row r="292" spans="2:18" x14ac:dyDescent="0.3">
      <c r="B292" s="101">
        <f t="shared" si="165"/>
        <v>1.8000000000000007</v>
      </c>
      <c r="C292" s="446" t="s">
        <v>33</v>
      </c>
      <c r="D292" s="455"/>
      <c r="E292" s="455"/>
      <c r="F292" s="455"/>
      <c r="G292" s="455"/>
      <c r="H292" s="455"/>
      <c r="I292" s="455"/>
      <c r="J292" s="455"/>
      <c r="K292" s="455"/>
      <c r="L292" s="455"/>
      <c r="M292" s="455"/>
      <c r="N292" s="455"/>
      <c r="O292" s="455"/>
      <c r="P292" s="455"/>
      <c r="Q292" s="455"/>
      <c r="R292" s="455"/>
    </row>
    <row r="293" spans="2:18" x14ac:dyDescent="0.3">
      <c r="B293" s="101"/>
      <c r="C293" s="446"/>
      <c r="D293" s="455"/>
      <c r="E293" s="455"/>
      <c r="F293" s="455"/>
      <c r="G293" s="455"/>
      <c r="H293" s="455"/>
      <c r="I293" s="455"/>
      <c r="J293" s="455"/>
      <c r="K293" s="455"/>
      <c r="L293" s="455"/>
      <c r="M293" s="455"/>
      <c r="N293" s="455"/>
      <c r="O293" s="455"/>
      <c r="P293" s="455"/>
      <c r="Q293" s="455"/>
      <c r="R293" s="455"/>
    </row>
    <row r="294" spans="2:18" x14ac:dyDescent="0.3">
      <c r="B294" s="101">
        <v>2</v>
      </c>
      <c r="C294" s="446" t="s">
        <v>426</v>
      </c>
      <c r="D294" s="455"/>
      <c r="E294" s="455"/>
      <c r="F294" s="455"/>
      <c r="G294" s="455"/>
      <c r="H294" s="455"/>
      <c r="I294" s="455"/>
      <c r="J294" s="455"/>
      <c r="K294" s="455"/>
      <c r="L294" s="455"/>
      <c r="M294" s="455"/>
      <c r="N294" s="455"/>
      <c r="O294" s="455"/>
      <c r="P294" s="455"/>
      <c r="Q294" s="455"/>
      <c r="R294" s="455"/>
    </row>
    <row r="295" spans="2:18" x14ac:dyDescent="0.3">
      <c r="B295" s="101">
        <f t="shared" ref="B295:B302" si="166">B294+0.1</f>
        <v>2.1</v>
      </c>
      <c r="C295" s="446" t="s">
        <v>29</v>
      </c>
      <c r="D295" s="455"/>
      <c r="E295" s="455"/>
      <c r="F295" s="455"/>
      <c r="G295" s="455"/>
      <c r="H295" s="455"/>
      <c r="I295" s="455"/>
      <c r="J295" s="455"/>
      <c r="K295" s="455"/>
      <c r="L295" s="455"/>
      <c r="M295" s="455"/>
      <c r="N295" s="455"/>
      <c r="O295" s="455"/>
      <c r="P295" s="455"/>
      <c r="Q295" s="455"/>
      <c r="R295" s="455"/>
    </row>
    <row r="296" spans="2:18" x14ac:dyDescent="0.3">
      <c r="B296" s="101">
        <f t="shared" si="166"/>
        <v>2.2000000000000002</v>
      </c>
      <c r="C296" s="446" t="s">
        <v>405</v>
      </c>
      <c r="D296" s="455"/>
      <c r="E296" s="455"/>
      <c r="F296" s="455"/>
      <c r="G296" s="455"/>
      <c r="H296" s="455"/>
      <c r="I296" s="455"/>
      <c r="J296" s="455"/>
      <c r="K296" s="455"/>
      <c r="L296" s="455"/>
      <c r="M296" s="455"/>
      <c r="N296" s="455"/>
      <c r="O296" s="455"/>
      <c r="P296" s="455"/>
      <c r="Q296" s="455"/>
      <c r="R296" s="455"/>
    </row>
    <row r="297" spans="2:18" x14ac:dyDescent="0.3">
      <c r="B297" s="101">
        <f t="shared" si="166"/>
        <v>2.3000000000000003</v>
      </c>
      <c r="C297" s="446" t="s">
        <v>345</v>
      </c>
      <c r="D297" s="455"/>
      <c r="E297" s="455"/>
      <c r="F297" s="455"/>
      <c r="G297" s="455"/>
      <c r="H297" s="455"/>
      <c r="I297" s="455"/>
      <c r="J297" s="455"/>
      <c r="K297" s="455"/>
      <c r="L297" s="455"/>
      <c r="M297" s="455"/>
      <c r="N297" s="455"/>
      <c r="O297" s="455"/>
      <c r="P297" s="455"/>
      <c r="Q297" s="455"/>
      <c r="R297" s="455"/>
    </row>
    <row r="298" spans="2:18" x14ac:dyDescent="0.3">
      <c r="B298" s="101">
        <f t="shared" si="166"/>
        <v>2.4000000000000004</v>
      </c>
      <c r="C298" s="446" t="s">
        <v>30</v>
      </c>
      <c r="D298" s="455"/>
      <c r="E298" s="455"/>
      <c r="F298" s="455"/>
      <c r="G298" s="455"/>
      <c r="H298" s="455"/>
      <c r="I298" s="455"/>
      <c r="J298" s="455"/>
      <c r="K298" s="455"/>
      <c r="L298" s="455"/>
      <c r="M298" s="455"/>
      <c r="N298" s="455"/>
      <c r="O298" s="455"/>
      <c r="P298" s="455"/>
      <c r="Q298" s="455"/>
      <c r="R298" s="455"/>
    </row>
    <row r="299" spans="2:18" x14ac:dyDescent="0.3">
      <c r="B299" s="101">
        <f t="shared" si="166"/>
        <v>2.5000000000000004</v>
      </c>
      <c r="C299" s="446" t="s">
        <v>31</v>
      </c>
      <c r="D299" s="455"/>
      <c r="E299" s="455">
        <f>+E295-E296+E297-E298</f>
        <v>0</v>
      </c>
      <c r="F299" s="455"/>
      <c r="G299" s="455"/>
      <c r="H299" s="455">
        <f>+I295-I296+I297-I298</f>
        <v>0</v>
      </c>
      <c r="I299" s="455"/>
      <c r="J299" s="455"/>
      <c r="K299" s="455">
        <f>+K295-K296+K297-K298</f>
        <v>0</v>
      </c>
      <c r="L299" s="455"/>
      <c r="M299" s="455"/>
      <c r="N299" s="455"/>
      <c r="O299" s="455"/>
      <c r="P299" s="455"/>
      <c r="Q299" s="455"/>
      <c r="R299" s="455"/>
    </row>
    <row r="300" spans="2:18" x14ac:dyDescent="0.3">
      <c r="B300" s="101">
        <f t="shared" si="166"/>
        <v>2.6000000000000005</v>
      </c>
      <c r="C300" s="446" t="s">
        <v>483</v>
      </c>
      <c r="D300" s="455"/>
      <c r="E300" s="455"/>
      <c r="F300" s="455"/>
      <c r="G300" s="455"/>
      <c r="H300" s="455"/>
      <c r="I300" s="455"/>
      <c r="J300" s="455"/>
      <c r="K300" s="455"/>
      <c r="L300" s="455"/>
      <c r="M300" s="455"/>
      <c r="N300" s="455"/>
      <c r="O300" s="455"/>
      <c r="P300" s="455"/>
      <c r="Q300" s="455"/>
      <c r="R300" s="455"/>
    </row>
    <row r="301" spans="2:18" x14ac:dyDescent="0.3">
      <c r="B301" s="101">
        <f t="shared" si="166"/>
        <v>2.7000000000000006</v>
      </c>
      <c r="C301" s="446" t="s">
        <v>32</v>
      </c>
      <c r="D301" s="455"/>
      <c r="E301" s="455" t="e">
        <f>E302/E300</f>
        <v>#DIV/0!</v>
      </c>
      <c r="F301" s="455"/>
      <c r="G301" s="455"/>
      <c r="H301" s="455" t="e">
        <f>I302/H300</f>
        <v>#DIV/0!</v>
      </c>
      <c r="I301" s="455"/>
      <c r="J301" s="455"/>
      <c r="K301" s="455" t="e">
        <f>K302/K300</f>
        <v>#DIV/0!</v>
      </c>
      <c r="L301" s="455"/>
      <c r="M301" s="455"/>
      <c r="N301" s="455"/>
      <c r="O301" s="455"/>
      <c r="P301" s="455"/>
      <c r="Q301" s="455"/>
      <c r="R301" s="455"/>
    </row>
    <row r="302" spans="2:18" x14ac:dyDescent="0.3">
      <c r="B302" s="101">
        <f t="shared" si="166"/>
        <v>2.8000000000000007</v>
      </c>
      <c r="C302" s="446" t="s">
        <v>33</v>
      </c>
      <c r="D302" s="455"/>
      <c r="E302" s="455"/>
      <c r="F302" s="455"/>
      <c r="G302" s="455"/>
      <c r="H302" s="455"/>
      <c r="I302" s="455"/>
      <c r="J302" s="455"/>
      <c r="K302" s="455"/>
      <c r="L302" s="455"/>
      <c r="M302" s="455"/>
      <c r="N302" s="455"/>
      <c r="O302" s="455"/>
      <c r="P302" s="455"/>
      <c r="Q302" s="455"/>
      <c r="R302" s="455"/>
    </row>
    <row r="303" spans="2:18" x14ac:dyDescent="0.3">
      <c r="B303" s="101"/>
      <c r="C303" s="446"/>
      <c r="D303" s="455"/>
      <c r="E303" s="455"/>
      <c r="F303" s="455"/>
      <c r="G303" s="455"/>
      <c r="H303" s="455"/>
      <c r="I303" s="455"/>
      <c r="J303" s="455"/>
      <c r="K303" s="455"/>
      <c r="L303" s="455"/>
      <c r="M303" s="455"/>
      <c r="N303" s="455"/>
      <c r="O303" s="455"/>
      <c r="P303" s="455"/>
      <c r="Q303" s="455"/>
      <c r="R303" s="455"/>
    </row>
    <row r="304" spans="2:18" x14ac:dyDescent="0.3">
      <c r="B304" s="101">
        <v>3</v>
      </c>
      <c r="C304" s="446" t="s">
        <v>501</v>
      </c>
      <c r="D304" s="455"/>
      <c r="E304" s="455"/>
      <c r="F304" s="455"/>
      <c r="G304" s="455"/>
      <c r="H304" s="455"/>
      <c r="I304" s="455"/>
      <c r="J304" s="455"/>
      <c r="K304" s="455"/>
      <c r="L304" s="455"/>
      <c r="M304" s="455"/>
      <c r="N304" s="455"/>
      <c r="O304" s="455"/>
      <c r="P304" s="455"/>
      <c r="Q304" s="455"/>
      <c r="R304" s="455"/>
    </row>
    <row r="305" spans="2:18" x14ac:dyDescent="0.3">
      <c r="B305" s="101"/>
      <c r="C305" s="446" t="s">
        <v>24</v>
      </c>
      <c r="D305" s="455"/>
      <c r="E305" s="455"/>
      <c r="F305" s="455"/>
      <c r="G305" s="455"/>
      <c r="H305" s="455"/>
      <c r="I305" s="455"/>
      <c r="J305" s="455"/>
      <c r="K305" s="455"/>
      <c r="L305" s="455"/>
      <c r="M305" s="455"/>
      <c r="N305" s="455"/>
      <c r="O305" s="455"/>
      <c r="P305" s="455"/>
      <c r="Q305" s="455"/>
      <c r="R305" s="455"/>
    </row>
    <row r="306" spans="2:18" x14ac:dyDescent="0.3">
      <c r="B306" s="101"/>
      <c r="C306" s="446" t="s">
        <v>24</v>
      </c>
      <c r="D306" s="455"/>
      <c r="E306" s="455"/>
      <c r="F306" s="455"/>
      <c r="G306" s="455"/>
      <c r="H306" s="455"/>
      <c r="I306" s="455"/>
      <c r="J306" s="455"/>
      <c r="K306" s="455"/>
      <c r="L306" s="455"/>
      <c r="M306" s="455"/>
      <c r="N306" s="455"/>
      <c r="O306" s="455"/>
      <c r="P306" s="455"/>
      <c r="Q306" s="455"/>
      <c r="R306" s="455"/>
    </row>
    <row r="307" spans="2:18" x14ac:dyDescent="0.3">
      <c r="B307" s="101"/>
      <c r="C307" s="446" t="s">
        <v>24</v>
      </c>
      <c r="D307" s="455"/>
      <c r="E307" s="455"/>
      <c r="F307" s="455"/>
      <c r="G307" s="455"/>
      <c r="H307" s="455"/>
      <c r="I307" s="455"/>
      <c r="J307" s="455"/>
      <c r="K307" s="455"/>
      <c r="L307" s="455"/>
      <c r="M307" s="455"/>
      <c r="N307" s="455"/>
      <c r="O307" s="455"/>
      <c r="P307" s="455"/>
      <c r="Q307" s="455"/>
      <c r="R307" s="455"/>
    </row>
    <row r="308" spans="2:18" x14ac:dyDescent="0.3">
      <c r="B308" s="101"/>
      <c r="C308" s="446"/>
      <c r="D308" s="455"/>
      <c r="E308" s="455"/>
      <c r="F308" s="455"/>
      <c r="G308" s="455"/>
      <c r="H308" s="455"/>
      <c r="I308" s="455"/>
      <c r="J308" s="455"/>
      <c r="K308" s="455"/>
      <c r="L308" s="455"/>
      <c r="M308" s="455"/>
      <c r="N308" s="455"/>
      <c r="O308" s="455"/>
      <c r="P308" s="455"/>
      <c r="Q308" s="455"/>
      <c r="R308" s="455"/>
    </row>
    <row r="309" spans="2:18" x14ac:dyDescent="0.3">
      <c r="B309" s="101">
        <v>10</v>
      </c>
      <c r="C309" s="446" t="s">
        <v>271</v>
      </c>
      <c r="D309" s="455"/>
      <c r="E309" s="455"/>
      <c r="F309" s="455"/>
      <c r="G309" s="455"/>
      <c r="H309" s="455"/>
      <c r="I309" s="455"/>
      <c r="J309" s="455"/>
      <c r="K309" s="455"/>
      <c r="L309" s="455"/>
      <c r="M309" s="455"/>
      <c r="N309" s="455"/>
      <c r="O309" s="455"/>
      <c r="P309" s="455"/>
      <c r="Q309" s="455"/>
      <c r="R309" s="455"/>
    </row>
    <row r="310" spans="2:18" x14ac:dyDescent="0.3">
      <c r="B310" s="101">
        <f t="shared" ref="B310:B317" si="167">B309+0.1</f>
        <v>10.1</v>
      </c>
      <c r="C310" s="446" t="s">
        <v>29</v>
      </c>
      <c r="D310" s="455"/>
      <c r="E310" s="455"/>
      <c r="F310" s="455"/>
      <c r="G310" s="455"/>
      <c r="H310" s="455"/>
      <c r="I310" s="455"/>
      <c r="J310" s="455"/>
      <c r="K310" s="455"/>
      <c r="L310" s="455"/>
      <c r="M310" s="455"/>
      <c r="N310" s="455"/>
      <c r="O310" s="455"/>
      <c r="P310" s="455"/>
      <c r="Q310" s="455"/>
      <c r="R310" s="455"/>
    </row>
    <row r="311" spans="2:18" x14ac:dyDescent="0.3">
      <c r="B311" s="101">
        <f t="shared" si="167"/>
        <v>10.199999999999999</v>
      </c>
      <c r="C311" s="446" t="s">
        <v>405</v>
      </c>
      <c r="D311" s="455"/>
      <c r="E311" s="455"/>
      <c r="F311" s="455"/>
      <c r="G311" s="455"/>
      <c r="H311" s="455"/>
      <c r="I311" s="455"/>
      <c r="J311" s="455"/>
      <c r="K311" s="455"/>
      <c r="L311" s="455"/>
      <c r="M311" s="455"/>
      <c r="N311" s="455"/>
      <c r="O311" s="455"/>
      <c r="P311" s="455"/>
      <c r="Q311" s="455"/>
      <c r="R311" s="455"/>
    </row>
    <row r="312" spans="2:18" x14ac:dyDescent="0.3">
      <c r="B312" s="101">
        <f t="shared" si="167"/>
        <v>10.299999999999999</v>
      </c>
      <c r="C312" s="446" t="s">
        <v>345</v>
      </c>
      <c r="D312" s="455"/>
      <c r="E312" s="455"/>
      <c r="F312" s="455"/>
      <c r="G312" s="455"/>
      <c r="H312" s="455"/>
      <c r="I312" s="455"/>
      <c r="J312" s="455"/>
      <c r="K312" s="455"/>
      <c r="L312" s="455"/>
      <c r="M312" s="455"/>
      <c r="N312" s="455"/>
      <c r="O312" s="455"/>
      <c r="P312" s="455"/>
      <c r="Q312" s="455"/>
      <c r="R312" s="455"/>
    </row>
    <row r="313" spans="2:18" x14ac:dyDescent="0.3">
      <c r="B313" s="101">
        <f t="shared" si="167"/>
        <v>10.399999999999999</v>
      </c>
      <c r="C313" s="446" t="s">
        <v>30</v>
      </c>
      <c r="D313" s="455"/>
      <c r="E313" s="455"/>
      <c r="F313" s="455"/>
      <c r="G313" s="455"/>
      <c r="H313" s="455"/>
      <c r="I313" s="455"/>
      <c r="J313" s="455"/>
      <c r="K313" s="455"/>
      <c r="L313" s="455"/>
      <c r="M313" s="455"/>
      <c r="N313" s="455"/>
      <c r="O313" s="455"/>
      <c r="P313" s="455"/>
      <c r="Q313" s="455"/>
      <c r="R313" s="455"/>
    </row>
    <row r="314" spans="2:18" x14ac:dyDescent="0.3">
      <c r="B314" s="101">
        <f t="shared" si="167"/>
        <v>10.499999999999998</v>
      </c>
      <c r="C314" s="446" t="s">
        <v>31</v>
      </c>
      <c r="D314" s="455"/>
      <c r="E314" s="455"/>
      <c r="F314" s="455"/>
      <c r="G314" s="455"/>
      <c r="H314" s="455"/>
      <c r="I314" s="455"/>
      <c r="J314" s="455"/>
      <c r="K314" s="455"/>
      <c r="L314" s="455"/>
      <c r="M314" s="455"/>
      <c r="N314" s="455"/>
      <c r="O314" s="455"/>
      <c r="P314" s="455"/>
      <c r="Q314" s="455"/>
      <c r="R314" s="455"/>
    </row>
    <row r="315" spans="2:18" x14ac:dyDescent="0.3">
      <c r="B315" s="101">
        <f t="shared" si="167"/>
        <v>10.599999999999998</v>
      </c>
      <c r="C315" s="446" t="s">
        <v>483</v>
      </c>
      <c r="D315" s="455"/>
      <c r="E315" s="455"/>
      <c r="F315" s="455"/>
      <c r="G315" s="455"/>
      <c r="H315" s="455"/>
      <c r="I315" s="455"/>
      <c r="J315" s="455"/>
      <c r="K315" s="455"/>
      <c r="L315" s="455"/>
      <c r="M315" s="455"/>
      <c r="N315" s="455"/>
      <c r="O315" s="455"/>
      <c r="P315" s="455"/>
      <c r="Q315" s="455"/>
      <c r="R315" s="455"/>
    </row>
    <row r="316" spans="2:18" x14ac:dyDescent="0.3">
      <c r="B316" s="101">
        <f t="shared" si="167"/>
        <v>10.699999999999998</v>
      </c>
      <c r="C316" s="446" t="s">
        <v>32</v>
      </c>
      <c r="D316" s="455"/>
      <c r="E316" s="455"/>
      <c r="F316" s="455"/>
      <c r="G316" s="455"/>
      <c r="H316" s="455"/>
      <c r="I316" s="455"/>
      <c r="J316" s="455"/>
      <c r="K316" s="455"/>
      <c r="L316" s="455"/>
      <c r="M316" s="455"/>
      <c r="N316" s="455"/>
      <c r="O316" s="455"/>
      <c r="P316" s="455"/>
      <c r="Q316" s="455"/>
      <c r="R316" s="455"/>
    </row>
    <row r="317" spans="2:18" x14ac:dyDescent="0.3">
      <c r="B317" s="101">
        <f t="shared" si="167"/>
        <v>10.799999999999997</v>
      </c>
      <c r="C317" s="446" t="s">
        <v>33</v>
      </c>
      <c r="D317" s="455"/>
      <c r="E317" s="455"/>
      <c r="F317" s="455"/>
      <c r="G317" s="455"/>
      <c r="H317" s="455"/>
      <c r="I317" s="455"/>
      <c r="J317" s="455"/>
      <c r="K317" s="455"/>
      <c r="L317" s="455"/>
      <c r="M317" s="455"/>
      <c r="N317" s="455"/>
      <c r="O317" s="455"/>
      <c r="P317" s="455"/>
      <c r="Q317" s="455"/>
      <c r="R317" s="455"/>
    </row>
    <row r="318" spans="2:18" x14ac:dyDescent="0.3">
      <c r="B318" s="101"/>
      <c r="C318" s="446"/>
      <c r="D318" s="455"/>
      <c r="E318" s="455"/>
      <c r="F318" s="455"/>
      <c r="G318" s="455"/>
      <c r="H318" s="455"/>
      <c r="I318" s="455"/>
      <c r="J318" s="455"/>
      <c r="K318" s="455"/>
      <c r="L318" s="455"/>
      <c r="M318" s="455"/>
      <c r="N318" s="455"/>
      <c r="O318" s="455"/>
      <c r="P318" s="455"/>
      <c r="Q318" s="455"/>
      <c r="R318" s="455"/>
    </row>
    <row r="319" spans="2:18" x14ac:dyDescent="0.3">
      <c r="B319" s="101"/>
      <c r="C319" s="446"/>
      <c r="D319" s="455"/>
      <c r="E319" s="455"/>
      <c r="F319" s="455"/>
      <c r="G319" s="455"/>
      <c r="H319" s="455"/>
      <c r="I319" s="455"/>
      <c r="J319" s="455"/>
      <c r="K319" s="455"/>
      <c r="L319" s="455"/>
      <c r="M319" s="455"/>
      <c r="N319" s="455"/>
      <c r="O319" s="455"/>
      <c r="P319" s="455"/>
      <c r="Q319" s="455"/>
      <c r="R319" s="455"/>
    </row>
    <row r="320" spans="2:18" x14ac:dyDescent="0.3">
      <c r="B320" s="101">
        <v>9</v>
      </c>
      <c r="C320" s="446" t="s">
        <v>34</v>
      </c>
      <c r="D320" s="455"/>
      <c r="E320" s="455"/>
      <c r="F320" s="455"/>
      <c r="G320" s="455"/>
      <c r="H320" s="455"/>
      <c r="I320" s="455"/>
      <c r="J320" s="455"/>
      <c r="K320" s="455"/>
      <c r="L320" s="455"/>
      <c r="M320" s="455"/>
      <c r="N320" s="455"/>
      <c r="O320" s="455"/>
      <c r="P320" s="455"/>
      <c r="Q320" s="455"/>
      <c r="R320" s="455"/>
    </row>
    <row r="321" spans="2:18" x14ac:dyDescent="0.3">
      <c r="B321" s="101">
        <v>10</v>
      </c>
      <c r="C321" s="446" t="s">
        <v>35</v>
      </c>
      <c r="D321" s="455"/>
      <c r="E321" s="455"/>
      <c r="F321" s="455"/>
      <c r="G321" s="455"/>
      <c r="H321" s="455"/>
      <c r="I321" s="455"/>
      <c r="J321" s="455"/>
      <c r="K321" s="455"/>
      <c r="L321" s="455"/>
      <c r="M321" s="455"/>
      <c r="N321" s="455"/>
      <c r="O321" s="455"/>
      <c r="P321" s="455"/>
      <c r="Q321" s="455"/>
      <c r="R321" s="455"/>
    </row>
    <row r="322" spans="2:18" x14ac:dyDescent="0.3">
      <c r="B322" s="101">
        <v>11</v>
      </c>
      <c r="C322" s="446" t="s">
        <v>36</v>
      </c>
      <c r="D322" s="455"/>
      <c r="E322" s="455"/>
      <c r="F322" s="455"/>
      <c r="G322" s="455"/>
      <c r="H322" s="455"/>
      <c r="I322" s="455"/>
      <c r="J322" s="455"/>
      <c r="K322" s="455"/>
      <c r="L322" s="455"/>
      <c r="M322" s="455"/>
      <c r="N322" s="455"/>
      <c r="O322" s="455"/>
      <c r="P322" s="455"/>
      <c r="Q322" s="455"/>
      <c r="R322" s="455"/>
    </row>
    <row r="323" spans="2:18" x14ac:dyDescent="0.3">
      <c r="B323" s="101"/>
      <c r="C323" s="446"/>
      <c r="D323" s="455"/>
      <c r="E323" s="455"/>
      <c r="F323" s="455"/>
      <c r="G323" s="455"/>
      <c r="H323" s="455"/>
      <c r="I323" s="455"/>
      <c r="J323" s="455"/>
      <c r="K323" s="455"/>
      <c r="L323" s="455"/>
      <c r="M323" s="455"/>
      <c r="N323" s="455"/>
      <c r="O323" s="455"/>
      <c r="P323" s="455"/>
      <c r="Q323" s="455"/>
      <c r="R323" s="455"/>
    </row>
    <row r="324" spans="2:18" x14ac:dyDescent="0.25">
      <c r="C324" s="458"/>
      <c r="D324" s="458"/>
      <c r="E324" s="458"/>
      <c r="F324" s="458"/>
      <c r="G324" s="458"/>
      <c r="H324" s="458"/>
      <c r="I324" s="458"/>
      <c r="N324" s="13"/>
    </row>
    <row r="325" spans="2:18" x14ac:dyDescent="0.25">
      <c r="C325" s="1667" t="s">
        <v>740</v>
      </c>
      <c r="D325" s="1667"/>
      <c r="E325" s="1667"/>
      <c r="F325" s="1667"/>
      <c r="G325" s="1667"/>
      <c r="H325" s="458"/>
      <c r="I325" s="458"/>
      <c r="N325" s="13"/>
    </row>
    <row r="326" spans="2:18" x14ac:dyDescent="0.25">
      <c r="C326" s="458" t="s">
        <v>502</v>
      </c>
      <c r="D326" s="458"/>
      <c r="E326" s="458"/>
      <c r="F326" s="458"/>
      <c r="G326" s="458"/>
      <c r="H326" s="458"/>
      <c r="I326" s="458"/>
      <c r="N326" s="13"/>
    </row>
  </sheetData>
  <mergeCells count="24">
    <mergeCell ref="C325:G325"/>
    <mergeCell ref="J136:L136"/>
    <mergeCell ref="J280:L280"/>
    <mergeCell ref="R280:R282"/>
    <mergeCell ref="B280:B282"/>
    <mergeCell ref="C280:C282"/>
    <mergeCell ref="D280:F280"/>
    <mergeCell ref="G280:I280"/>
    <mergeCell ref="B136:B137"/>
    <mergeCell ref="C136:C137"/>
    <mergeCell ref="D136:F136"/>
    <mergeCell ref="G136:I136"/>
    <mergeCell ref="R28:R30"/>
    <mergeCell ref="R10:R12"/>
    <mergeCell ref="G29:I29"/>
    <mergeCell ref="G10:I10"/>
    <mergeCell ref="J29:L29"/>
    <mergeCell ref="J10:L10"/>
    <mergeCell ref="B10:B11"/>
    <mergeCell ref="C10:C11"/>
    <mergeCell ref="B29:B30"/>
    <mergeCell ref="C29:C30"/>
    <mergeCell ref="D10:F10"/>
    <mergeCell ref="D29:F29"/>
  </mergeCells>
  <pageMargins left="1.02" right="0.25" top="1" bottom="1" header="0.25" footer="0.25"/>
  <pageSetup paperSize="9" scale="33" fitToHeight="0" orientation="landscape" r:id="rId1"/>
  <headerFooter alignWithMargins="0">
    <oddHeader>&amp;F</oddHeader>
  </headerFooter>
  <rowBreaks count="1" manualBreakCount="1">
    <brk id="26" min="1"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S65"/>
  <sheetViews>
    <sheetView showGridLines="0" view="pageBreakPreview" zoomScale="60" zoomScaleNormal="75" workbookViewId="0">
      <selection activeCell="J34" sqref="J34"/>
    </sheetView>
  </sheetViews>
  <sheetFormatPr defaultColWidth="9.36328125" defaultRowHeight="14" x14ac:dyDescent="0.25"/>
  <cols>
    <col min="1" max="1" width="6.36328125" style="13" customWidth="1"/>
    <col min="2" max="2" width="8.36328125" style="13" customWidth="1"/>
    <col min="3" max="3" width="64" style="13" customWidth="1"/>
    <col min="4" max="7" width="19.36328125" style="13" customWidth="1"/>
    <col min="8" max="8" width="21.6328125" style="13" customWidth="1"/>
    <col min="9" max="10" width="20.6328125" style="13" customWidth="1"/>
    <col min="11" max="11" width="20.6328125" style="361" customWidth="1"/>
    <col min="12" max="20" width="16.6328125" style="13" customWidth="1"/>
    <col min="21" max="16384" width="9.36328125" style="13"/>
  </cols>
  <sheetData>
    <row r="2" spans="2:19" x14ac:dyDescent="0.25">
      <c r="B2" s="1468" t="str">
        <f>Index!B2</f>
        <v xml:space="preserve">      Maharashtra State Power Generation Company Ltd.</v>
      </c>
      <c r="C2" s="1468"/>
      <c r="D2" s="1468"/>
      <c r="E2" s="1468"/>
      <c r="F2" s="1468"/>
      <c r="G2" s="1468"/>
      <c r="H2" s="1468"/>
      <c r="I2" s="1468"/>
      <c r="J2" s="1468"/>
      <c r="K2" s="1468"/>
      <c r="L2" s="1468"/>
      <c r="M2" s="1468"/>
    </row>
    <row r="5" spans="2:19" ht="51" customHeight="1" x14ac:dyDescent="0.25">
      <c r="B5" s="1673" t="s">
        <v>741</v>
      </c>
      <c r="C5" s="1673"/>
      <c r="D5" s="1673"/>
      <c r="E5" s="1673"/>
      <c r="F5" s="1673"/>
      <c r="G5" s="1673"/>
      <c r="H5" s="1673"/>
      <c r="I5" s="1673"/>
      <c r="J5" s="1673"/>
      <c r="K5" s="1673"/>
      <c r="L5" s="1673"/>
      <c r="M5" s="1673"/>
    </row>
    <row r="7" spans="2:19" x14ac:dyDescent="0.25">
      <c r="R7" s="22" t="s">
        <v>10</v>
      </c>
    </row>
    <row r="8" spans="2:19" ht="15" customHeight="1" x14ac:dyDescent="0.25">
      <c r="B8" s="1471" t="s">
        <v>346</v>
      </c>
      <c r="C8" s="1471" t="s">
        <v>37</v>
      </c>
      <c r="D8" s="1583" t="s">
        <v>519</v>
      </c>
      <c r="E8" s="1584"/>
      <c r="F8" s="1585"/>
      <c r="G8" s="1583" t="s">
        <v>520</v>
      </c>
      <c r="H8" s="1584"/>
      <c r="I8" s="1585"/>
      <c r="J8" s="1583" t="s">
        <v>521</v>
      </c>
      <c r="K8" s="1584"/>
      <c r="L8" s="1585"/>
    </row>
    <row r="9" spans="2:19" ht="28" x14ac:dyDescent="0.25">
      <c r="B9" s="1472"/>
      <c r="C9" s="1472"/>
      <c r="D9" s="345" t="s">
        <v>982</v>
      </c>
      <c r="E9" s="335" t="s">
        <v>79</v>
      </c>
      <c r="F9" s="335" t="s">
        <v>459</v>
      </c>
      <c r="G9" s="345" t="s">
        <v>982</v>
      </c>
      <c r="H9" s="335" t="s">
        <v>837</v>
      </c>
      <c r="I9" s="335" t="s">
        <v>459</v>
      </c>
      <c r="J9" s="335" t="s">
        <v>982</v>
      </c>
      <c r="K9" s="362" t="s">
        <v>80</v>
      </c>
      <c r="L9" s="335" t="s">
        <v>460</v>
      </c>
    </row>
    <row r="10" spans="2:19" x14ac:dyDescent="0.25">
      <c r="B10" s="1556"/>
      <c r="C10" s="1556"/>
      <c r="D10" s="335" t="s">
        <v>81</v>
      </c>
      <c r="E10" s="335" t="s">
        <v>82</v>
      </c>
      <c r="F10" s="335" t="s">
        <v>692</v>
      </c>
      <c r="G10" s="335" t="s">
        <v>397</v>
      </c>
      <c r="H10" s="335" t="s">
        <v>414</v>
      </c>
      <c r="I10" s="335" t="s">
        <v>465</v>
      </c>
      <c r="J10" s="335" t="s">
        <v>415</v>
      </c>
      <c r="K10" s="362" t="s">
        <v>416</v>
      </c>
      <c r="L10" s="335" t="s">
        <v>742</v>
      </c>
    </row>
    <row r="11" spans="2:19" x14ac:dyDescent="0.25">
      <c r="B11" s="105">
        <v>1</v>
      </c>
      <c r="C11" s="104" t="s">
        <v>615</v>
      </c>
      <c r="D11" s="365">
        <v>7.1296829022893622</v>
      </c>
      <c r="E11" s="365">
        <v>7.1296829022893622</v>
      </c>
      <c r="F11" s="352">
        <f>E11-D11</f>
        <v>0</v>
      </c>
      <c r="G11" s="352">
        <f>D15</f>
        <v>10.832024902289362</v>
      </c>
      <c r="H11" s="352">
        <f>E15</f>
        <v>10.402966673800002</v>
      </c>
      <c r="I11" s="352">
        <f>H11-G11</f>
        <v>-0.42905822848936026</v>
      </c>
      <c r="J11" s="352">
        <f>G15</f>
        <v>18.788024902289362</v>
      </c>
      <c r="K11" s="352">
        <f>H15</f>
        <v>12.525985735546648</v>
      </c>
      <c r="L11" s="352">
        <f>K11-J11</f>
        <v>-6.2620391667427135</v>
      </c>
      <c r="S11" s="372"/>
    </row>
    <row r="12" spans="2:19" x14ac:dyDescent="0.25">
      <c r="B12" s="105">
        <f>B11+1</f>
        <v>2</v>
      </c>
      <c r="C12" s="104" t="s">
        <v>560</v>
      </c>
      <c r="D12" s="23"/>
      <c r="E12" s="352"/>
      <c r="F12" s="352">
        <f t="shared" ref="F12:F15" si="0">E12-D12</f>
        <v>0</v>
      </c>
      <c r="G12" s="352"/>
      <c r="H12" s="352"/>
      <c r="I12" s="352">
        <f t="shared" ref="I12:I15" si="1">H12-G12</f>
        <v>0</v>
      </c>
      <c r="J12" s="352"/>
      <c r="K12" s="365"/>
      <c r="L12" s="352">
        <f t="shared" ref="L12:L15" si="2">K12-J12</f>
        <v>0</v>
      </c>
      <c r="S12" s="372"/>
    </row>
    <row r="13" spans="2:19" x14ac:dyDescent="0.25">
      <c r="B13" s="105">
        <f t="shared" ref="B13:B22" si="3">B12+1</f>
        <v>3</v>
      </c>
      <c r="C13" s="104" t="s">
        <v>616</v>
      </c>
      <c r="D13" s="354">
        <f>'F4'!D14*30%</f>
        <v>3.7023419999999998</v>
      </c>
      <c r="E13" s="352">
        <f>'F4'!E14*30%</f>
        <v>3.9489547188000005</v>
      </c>
      <c r="F13" s="352">
        <f t="shared" si="0"/>
        <v>0.24661271880000069</v>
      </c>
      <c r="G13" s="352">
        <f>'F4'!G14*30%</f>
        <v>7.9560000000000004</v>
      </c>
      <c r="H13" s="352">
        <f>'F4'!H14*30%</f>
        <v>2.250381339</v>
      </c>
      <c r="I13" s="352">
        <f t="shared" si="1"/>
        <v>-5.7056186610000008</v>
      </c>
      <c r="J13" s="352">
        <f>'F4'!J14*30%</f>
        <v>5.3279999999999994</v>
      </c>
      <c r="K13" s="365">
        <f>'F4'!M14*30%</f>
        <v>14.379891690000001</v>
      </c>
      <c r="L13" s="352">
        <f t="shared" si="2"/>
        <v>9.0518916900000015</v>
      </c>
      <c r="S13" s="372"/>
    </row>
    <row r="14" spans="2:19" x14ac:dyDescent="0.3">
      <c r="B14" s="287">
        <f t="shared" si="3"/>
        <v>4</v>
      </c>
      <c r="C14" s="28" t="s">
        <v>38</v>
      </c>
      <c r="D14" s="23"/>
      <c r="E14" s="611">
        <f>'F5'!F31*E11/'F5'!D31</f>
        <v>0.6756709472893615</v>
      </c>
      <c r="F14" s="365">
        <f t="shared" si="0"/>
        <v>0.6756709472893615</v>
      </c>
      <c r="G14" s="365"/>
      <c r="H14" s="611">
        <f>'F5'!K31*H11/'F5'!I31</f>
        <v>0.12736227725335336</v>
      </c>
      <c r="I14" s="365">
        <f t="shared" si="1"/>
        <v>0.12736227725335336</v>
      </c>
      <c r="J14" s="365"/>
      <c r="K14" s="611">
        <f>'F5'!K57*K11/'F5'!I57</f>
        <v>0</v>
      </c>
      <c r="L14" s="352">
        <f t="shared" si="2"/>
        <v>0</v>
      </c>
      <c r="S14" s="372"/>
    </row>
    <row r="15" spans="2:19" x14ac:dyDescent="0.25">
      <c r="B15" s="105">
        <f t="shared" si="3"/>
        <v>5</v>
      </c>
      <c r="C15" s="104" t="s">
        <v>39</v>
      </c>
      <c r="D15" s="352">
        <f>D11+D13-D14</f>
        <v>10.832024902289362</v>
      </c>
      <c r="E15" s="352">
        <f>E11+E13-E14</f>
        <v>10.402966673800002</v>
      </c>
      <c r="F15" s="352">
        <f t="shared" si="0"/>
        <v>-0.42905822848936026</v>
      </c>
      <c r="G15" s="352">
        <f>G11+G13-G14</f>
        <v>18.788024902289362</v>
      </c>
      <c r="H15" s="352">
        <f>H11+H13-H14</f>
        <v>12.525985735546648</v>
      </c>
      <c r="I15" s="352">
        <f t="shared" si="1"/>
        <v>-6.2620391667427135</v>
      </c>
      <c r="J15" s="352">
        <f>J11+J13-J14</f>
        <v>24.116024902289361</v>
      </c>
      <c r="K15" s="352">
        <f>K11+K13-K14</f>
        <v>26.905877425546649</v>
      </c>
      <c r="L15" s="352">
        <f t="shared" si="2"/>
        <v>2.7898525232572879</v>
      </c>
      <c r="S15" s="372"/>
    </row>
    <row r="16" spans="2:19" x14ac:dyDescent="0.25">
      <c r="B16" s="105"/>
      <c r="C16" s="104"/>
      <c r="D16" s="23"/>
      <c r="E16" s="23"/>
      <c r="F16" s="352"/>
      <c r="G16" s="23"/>
      <c r="H16" s="23"/>
      <c r="I16" s="352"/>
      <c r="J16" s="352"/>
      <c r="K16" s="365"/>
      <c r="L16" s="352"/>
      <c r="S16" s="372"/>
    </row>
    <row r="17" spans="2:19" x14ac:dyDescent="0.25">
      <c r="B17" s="105"/>
      <c r="C17" s="106" t="s">
        <v>410</v>
      </c>
      <c r="D17" s="23"/>
      <c r="E17" s="23"/>
      <c r="F17" s="352"/>
      <c r="G17" s="23"/>
      <c r="H17" s="23"/>
      <c r="I17" s="352"/>
      <c r="J17" s="352"/>
      <c r="K17" s="365"/>
      <c r="L17" s="352"/>
      <c r="S17" s="372"/>
    </row>
    <row r="18" spans="2:19" x14ac:dyDescent="0.25">
      <c r="B18" s="105">
        <v>6</v>
      </c>
      <c r="C18" s="104" t="s">
        <v>563</v>
      </c>
      <c r="D18" s="374">
        <v>0.14000000000000001</v>
      </c>
      <c r="E18" s="374">
        <v>0.14000000000000001</v>
      </c>
      <c r="F18" s="375"/>
      <c r="G18" s="374">
        <v>0.14000000000000001</v>
      </c>
      <c r="H18" s="374">
        <v>0.14000000000000001</v>
      </c>
      <c r="I18" s="375"/>
      <c r="J18" s="374">
        <v>0.14000000000000001</v>
      </c>
      <c r="K18" s="374">
        <v>0.14000000000000001</v>
      </c>
      <c r="L18" s="375"/>
      <c r="S18" s="372"/>
    </row>
    <row r="19" spans="2:19" x14ac:dyDescent="0.25">
      <c r="B19" s="105">
        <v>7</v>
      </c>
      <c r="C19" s="104" t="s">
        <v>597</v>
      </c>
      <c r="D19" s="375">
        <v>0.14000000000000001</v>
      </c>
      <c r="E19" s="375">
        <v>0.14000000000000001</v>
      </c>
      <c r="F19" s="375"/>
      <c r="G19" s="375">
        <v>0.14000000000000001</v>
      </c>
      <c r="H19" s="375">
        <v>0.14000000000000001</v>
      </c>
      <c r="I19" s="375"/>
      <c r="J19" s="375">
        <v>0.14000000000000001</v>
      </c>
      <c r="K19" s="375">
        <v>0.14000000000000001</v>
      </c>
      <c r="L19" s="375"/>
      <c r="S19" s="372"/>
    </row>
    <row r="20" spans="2:19" x14ac:dyDescent="0.25">
      <c r="B20" s="105">
        <v>8</v>
      </c>
      <c r="C20" s="104" t="s">
        <v>564</v>
      </c>
      <c r="D20" s="352">
        <f>D11*D19</f>
        <v>0.99815560632051081</v>
      </c>
      <c r="E20" s="352">
        <f>E11*E19</f>
        <v>0.99815560632051081</v>
      </c>
      <c r="F20" s="352">
        <f t="shared" ref="F20:F22" si="4">E20-D20</f>
        <v>0</v>
      </c>
      <c r="G20" s="352">
        <f>G11*G19</f>
        <v>1.5164834863205108</v>
      </c>
      <c r="H20" s="352">
        <f>H11*H19</f>
        <v>1.4564153343320003</v>
      </c>
      <c r="I20" s="352">
        <f t="shared" ref="I20:I22" si="5">H20-G20</f>
        <v>-6.0068151988510454E-2</v>
      </c>
      <c r="J20" s="352">
        <f>J11*J19</f>
        <v>2.6303234863205107</v>
      </c>
      <c r="K20" s="352">
        <f>K11*K19</f>
        <v>1.7536380029765308</v>
      </c>
      <c r="L20" s="352">
        <f t="shared" ref="L20:L22" si="6">K20-J20</f>
        <v>-0.87668548334397989</v>
      </c>
      <c r="S20" s="372"/>
    </row>
    <row r="21" spans="2:19" x14ac:dyDescent="0.25">
      <c r="B21" s="105">
        <f t="shared" si="3"/>
        <v>9</v>
      </c>
      <c r="C21" s="104" t="s">
        <v>565</v>
      </c>
      <c r="D21" s="352">
        <f>(D13-D14)*D19/2</f>
        <v>0.25916394000000004</v>
      </c>
      <c r="E21" s="352">
        <f>(E13-E14)*E19/2</f>
        <v>0.22912986400574475</v>
      </c>
      <c r="F21" s="352">
        <f t="shared" si="4"/>
        <v>-3.0034075994255283E-2</v>
      </c>
      <c r="G21" s="352">
        <f>(G13-G14)*G19/2</f>
        <v>0.55692000000000008</v>
      </c>
      <c r="H21" s="352">
        <f>(H13-H14)*H19/2</f>
        <v>0.14861133432226528</v>
      </c>
      <c r="I21" s="352">
        <f t="shared" si="5"/>
        <v>-0.40830866567773483</v>
      </c>
      <c r="J21" s="352">
        <f>(J13-J14)*J19/2</f>
        <v>0.37296000000000001</v>
      </c>
      <c r="K21" s="352">
        <f>(K13-K14)*K19/2</f>
        <v>1.0065924183000001</v>
      </c>
      <c r="L21" s="352">
        <f t="shared" si="6"/>
        <v>0.63363241830000017</v>
      </c>
      <c r="S21" s="372"/>
    </row>
    <row r="22" spans="2:19" x14ac:dyDescent="0.25">
      <c r="B22" s="120">
        <f t="shared" si="3"/>
        <v>10</v>
      </c>
      <c r="C22" s="106" t="s">
        <v>411</v>
      </c>
      <c r="D22" s="371">
        <f>SUM(D20:D21)</f>
        <v>1.2573195463205109</v>
      </c>
      <c r="E22" s="371">
        <f>SUM(E20:E21)</f>
        <v>1.2272854703262555</v>
      </c>
      <c r="F22" s="417">
        <f t="shared" si="4"/>
        <v>-3.0034075994255449E-2</v>
      </c>
      <c r="G22" s="371">
        <f>SUM(G20:G21)</f>
        <v>2.0734034863205109</v>
      </c>
      <c r="H22" s="371">
        <f>SUM(H20:H21)</f>
        <v>1.6050266686542656</v>
      </c>
      <c r="I22" s="417">
        <f t="shared" si="5"/>
        <v>-0.46837681766624528</v>
      </c>
      <c r="J22" s="371">
        <f>SUM(J20:J21)</f>
        <v>3.0032834863205107</v>
      </c>
      <c r="K22" s="371">
        <f>SUM(K20:K21)</f>
        <v>2.760230421276531</v>
      </c>
      <c r="L22" s="417">
        <f t="shared" si="6"/>
        <v>-0.24305306504397972</v>
      </c>
      <c r="S22" s="372"/>
    </row>
    <row r="23" spans="2:19" x14ac:dyDescent="0.25">
      <c r="B23" s="23"/>
      <c r="C23" s="23"/>
      <c r="D23" s="23"/>
      <c r="E23" s="23"/>
      <c r="F23" s="352"/>
      <c r="G23" s="23"/>
      <c r="H23" s="23"/>
      <c r="I23" s="352"/>
      <c r="J23" s="352"/>
      <c r="K23" s="365"/>
      <c r="L23" s="352"/>
      <c r="S23" s="372"/>
    </row>
    <row r="24" spans="2:19" x14ac:dyDescent="0.25">
      <c r="B24" s="105"/>
      <c r="C24" s="106" t="s">
        <v>810</v>
      </c>
      <c r="D24" s="23"/>
      <c r="E24" s="121"/>
      <c r="F24" s="365"/>
      <c r="G24" s="121"/>
      <c r="H24" s="121"/>
      <c r="I24" s="121"/>
      <c r="J24" s="121"/>
      <c r="K24" s="121"/>
      <c r="L24" s="121"/>
    </row>
    <row r="26" spans="2:19" ht="32.25" customHeight="1" x14ac:dyDescent="0.25">
      <c r="C26" s="1676" t="s">
        <v>1631</v>
      </c>
      <c r="D26" s="1676"/>
      <c r="E26" s="1676"/>
      <c r="F26" s="1676"/>
      <c r="G26" s="1676"/>
      <c r="H26" s="1676"/>
      <c r="I26" s="1676"/>
      <c r="J26" s="1676"/>
      <c r="K26" s="1676"/>
      <c r="L26" s="1676"/>
      <c r="M26" s="1676"/>
    </row>
    <row r="27" spans="2:19" x14ac:dyDescent="0.25">
      <c r="C27" s="1677" t="s">
        <v>1632</v>
      </c>
      <c r="D27" s="1677"/>
      <c r="E27" s="1677"/>
      <c r="F27" s="1677"/>
      <c r="G27" s="1677"/>
      <c r="H27" s="1677"/>
      <c r="I27" s="1677"/>
      <c r="J27" s="1677"/>
      <c r="K27" s="1677"/>
      <c r="L27" s="1677"/>
      <c r="M27" s="1677"/>
      <c r="N27" s="1677"/>
      <c r="O27" s="1677"/>
    </row>
    <row r="28" spans="2:19" x14ac:dyDescent="0.25">
      <c r="C28" s="1677" t="s">
        <v>1633</v>
      </c>
      <c r="D28" s="1677"/>
      <c r="E28" s="1677"/>
      <c r="F28" s="1677"/>
      <c r="G28" s="1677"/>
      <c r="H28" s="1677"/>
      <c r="I28" s="1677"/>
      <c r="J28" s="1677"/>
      <c r="K28" s="1677"/>
      <c r="L28" s="1677"/>
      <c r="M28" s="1677"/>
      <c r="N28" s="1677"/>
      <c r="O28" s="1677"/>
    </row>
    <row r="31" spans="2:19" x14ac:dyDescent="0.25">
      <c r="C31" s="347" t="s">
        <v>743</v>
      </c>
    </row>
    <row r="33" spans="2:13" x14ac:dyDescent="0.25">
      <c r="B33" s="1471" t="s">
        <v>343</v>
      </c>
      <c r="C33" s="1474" t="s">
        <v>37</v>
      </c>
      <c r="D33" s="1674" t="s">
        <v>144</v>
      </c>
      <c r="E33" s="332" t="s">
        <v>519</v>
      </c>
      <c r="F33" s="331" t="s">
        <v>520</v>
      </c>
    </row>
    <row r="34" spans="2:13" ht="28" x14ac:dyDescent="0.25">
      <c r="B34" s="1472"/>
      <c r="C34" s="1474"/>
      <c r="D34" s="1675"/>
      <c r="E34" s="331" t="s">
        <v>79</v>
      </c>
      <c r="F34" s="331" t="s">
        <v>79</v>
      </c>
    </row>
    <row r="35" spans="2:13" x14ac:dyDescent="0.25">
      <c r="B35" s="101">
        <v>1</v>
      </c>
      <c r="C35" s="104" t="s">
        <v>749</v>
      </c>
      <c r="D35" s="105" t="s">
        <v>98</v>
      </c>
      <c r="E35" s="121"/>
      <c r="F35" s="121"/>
    </row>
    <row r="36" spans="2:13" x14ac:dyDescent="0.25">
      <c r="B36" s="105">
        <f>B35+1</f>
        <v>2</v>
      </c>
      <c r="C36" s="104" t="s">
        <v>744</v>
      </c>
      <c r="D36" s="105" t="s">
        <v>98</v>
      </c>
      <c r="E36" s="121"/>
      <c r="F36" s="121"/>
    </row>
    <row r="37" spans="2:13" x14ac:dyDescent="0.25">
      <c r="B37" s="105"/>
      <c r="C37" s="104"/>
      <c r="D37" s="104"/>
      <c r="E37" s="121"/>
      <c r="F37" s="121"/>
    </row>
    <row r="38" spans="2:13" x14ac:dyDescent="0.3">
      <c r="B38" s="105">
        <v>3</v>
      </c>
      <c r="C38" s="28" t="s">
        <v>750</v>
      </c>
      <c r="D38" s="348" t="s">
        <v>745</v>
      </c>
      <c r="E38" s="121"/>
      <c r="F38" s="121"/>
    </row>
    <row r="39" spans="2:13" x14ac:dyDescent="0.25">
      <c r="B39" s="105">
        <f t="shared" ref="B39" si="7">B38+1</f>
        <v>4</v>
      </c>
      <c r="C39" s="104" t="s">
        <v>746</v>
      </c>
      <c r="D39" s="105" t="s">
        <v>98</v>
      </c>
      <c r="E39" s="121"/>
      <c r="F39" s="121"/>
    </row>
    <row r="40" spans="2:13" x14ac:dyDescent="0.25">
      <c r="B40" s="105"/>
      <c r="C40" s="104"/>
      <c r="D40" s="104"/>
      <c r="E40" s="121"/>
      <c r="F40" s="121"/>
    </row>
    <row r="41" spans="2:13" x14ac:dyDescent="0.25">
      <c r="B41" s="105">
        <v>5</v>
      </c>
      <c r="C41" s="104" t="s">
        <v>751</v>
      </c>
      <c r="D41" s="105" t="s">
        <v>98</v>
      </c>
      <c r="E41" s="1084"/>
      <c r="F41" s="121"/>
    </row>
    <row r="42" spans="2:13" x14ac:dyDescent="0.25">
      <c r="B42" s="105"/>
      <c r="C42" s="104"/>
      <c r="D42" s="104"/>
      <c r="E42" s="121"/>
      <c r="F42" s="121"/>
    </row>
    <row r="43" spans="2:13" x14ac:dyDescent="0.25">
      <c r="B43" s="105"/>
      <c r="C43" s="106" t="s">
        <v>748</v>
      </c>
      <c r="D43" s="104"/>
      <c r="E43" s="121"/>
      <c r="F43" s="121"/>
    </row>
    <row r="44" spans="2:13" x14ac:dyDescent="0.25">
      <c r="B44" s="105">
        <v>6</v>
      </c>
      <c r="C44" s="104" t="s">
        <v>617</v>
      </c>
      <c r="D44" s="105" t="s">
        <v>447</v>
      </c>
      <c r="E44" s="121"/>
      <c r="F44" s="121"/>
    </row>
    <row r="45" spans="2:13" x14ac:dyDescent="0.25">
      <c r="B45" s="105">
        <v>7</v>
      </c>
      <c r="C45" s="104" t="s">
        <v>618</v>
      </c>
      <c r="D45" s="105" t="s">
        <v>447</v>
      </c>
      <c r="E45" s="121"/>
      <c r="F45" s="121"/>
    </row>
    <row r="46" spans="2:13" x14ac:dyDescent="0.25">
      <c r="B46" s="120">
        <v>8</v>
      </c>
      <c r="C46" s="106" t="s">
        <v>747</v>
      </c>
      <c r="D46" s="106"/>
      <c r="E46" s="121"/>
      <c r="F46" s="121"/>
    </row>
    <row r="48" spans="2:13" x14ac:dyDescent="0.25">
      <c r="C48" s="1672"/>
      <c r="D48" s="1672"/>
      <c r="E48" s="1672"/>
      <c r="F48" s="1672"/>
      <c r="G48" s="1672"/>
      <c r="H48" s="1672"/>
      <c r="I48" s="1672"/>
      <c r="J48" s="1672"/>
      <c r="K48" s="1672"/>
      <c r="L48" s="1672"/>
      <c r="M48" s="1672"/>
    </row>
    <row r="49" spans="2:13" x14ac:dyDescent="0.25">
      <c r="C49" s="361"/>
      <c r="D49" s="361"/>
      <c r="E49" s="361"/>
      <c r="F49" s="361"/>
      <c r="G49" s="361"/>
      <c r="H49" s="361"/>
      <c r="I49" s="361"/>
      <c r="J49" s="361"/>
      <c r="L49" s="361"/>
      <c r="M49" s="361"/>
    </row>
    <row r="51" spans="2:13" x14ac:dyDescent="0.25">
      <c r="B51" s="860" t="s">
        <v>346</v>
      </c>
      <c r="C51" s="860" t="s">
        <v>37</v>
      </c>
      <c r="D51" s="601" t="s">
        <v>940</v>
      </c>
      <c r="E51" s="601" t="s">
        <v>941</v>
      </c>
      <c r="F51" s="862" t="s">
        <v>945</v>
      </c>
      <c r="G51" s="862" t="s">
        <v>942</v>
      </c>
      <c r="H51" s="862" t="s">
        <v>944</v>
      </c>
      <c r="I51" s="865" t="s">
        <v>27</v>
      </c>
    </row>
    <row r="52" spans="2:13" x14ac:dyDescent="0.25">
      <c r="B52" s="861"/>
      <c r="C52" s="861"/>
      <c r="D52" s="863" t="s">
        <v>943</v>
      </c>
      <c r="E52" s="863" t="s">
        <v>943</v>
      </c>
      <c r="F52" s="863" t="s">
        <v>943</v>
      </c>
      <c r="G52" s="863" t="s">
        <v>943</v>
      </c>
      <c r="H52" s="863" t="s">
        <v>943</v>
      </c>
    </row>
    <row r="53" spans="2:13" x14ac:dyDescent="0.25">
      <c r="B53" s="864"/>
      <c r="C53" s="864"/>
      <c r="D53" s="863" t="s">
        <v>604</v>
      </c>
      <c r="E53" s="863" t="s">
        <v>606</v>
      </c>
      <c r="F53" s="863" t="s">
        <v>606</v>
      </c>
      <c r="G53" s="863" t="s">
        <v>606</v>
      </c>
      <c r="H53" s="863" t="s">
        <v>606</v>
      </c>
    </row>
    <row r="54" spans="2:13" x14ac:dyDescent="0.25">
      <c r="B54" s="105">
        <v>1</v>
      </c>
      <c r="C54" s="104" t="s">
        <v>615</v>
      </c>
      <c r="D54" s="352">
        <f>K15</f>
        <v>26.905877425546649</v>
      </c>
      <c r="E54" s="352">
        <f>D58</f>
        <v>40.081282425546647</v>
      </c>
      <c r="F54" s="352">
        <f t="shared" ref="F54:H54" si="8">E58</f>
        <v>47.666782425546643</v>
      </c>
      <c r="G54" s="352">
        <f t="shared" si="8"/>
        <v>61.757782425546644</v>
      </c>
      <c r="H54" s="352">
        <f t="shared" si="8"/>
        <v>70.077782425546644</v>
      </c>
      <c r="I54" s="372"/>
    </row>
    <row r="55" spans="2:13" x14ac:dyDescent="0.25">
      <c r="B55" s="105">
        <f>B54+1</f>
        <v>2</v>
      </c>
      <c r="C55" s="104" t="s">
        <v>560</v>
      </c>
      <c r="D55" s="352"/>
      <c r="E55" s="352"/>
      <c r="F55" s="352"/>
      <c r="G55" s="352"/>
      <c r="H55" s="352"/>
      <c r="I55" s="372"/>
    </row>
    <row r="56" spans="2:13" x14ac:dyDescent="0.25">
      <c r="B56" s="105">
        <f t="shared" ref="B56:B65" si="9">B55+1</f>
        <v>3</v>
      </c>
      <c r="C56" s="104" t="s">
        <v>616</v>
      </c>
      <c r="D56" s="352">
        <f>'F4'!O14*30%</f>
        <v>13.175405</v>
      </c>
      <c r="E56" s="352">
        <f>'F4'!P14*30%</f>
        <v>7.5854999999999988</v>
      </c>
      <c r="F56" s="352">
        <f>'F4'!Q14*30%</f>
        <v>14.090999999999999</v>
      </c>
      <c r="G56" s="352">
        <f>'F4'!R14*30%</f>
        <v>8.3199999999999985</v>
      </c>
      <c r="H56" s="352">
        <f>'F4'!S14*30%</f>
        <v>10.5</v>
      </c>
      <c r="I56" s="372"/>
    </row>
    <row r="57" spans="2:13" x14ac:dyDescent="0.3">
      <c r="B57" s="287">
        <f t="shared" si="9"/>
        <v>4</v>
      </c>
      <c r="C57" s="28" t="s">
        <v>38</v>
      </c>
      <c r="D57" s="608">
        <f>'F5'!U31*D54/'F5'!S31</f>
        <v>0</v>
      </c>
      <c r="E57" s="608">
        <f>'F5'!F57*E54/'F5'!D57</f>
        <v>0</v>
      </c>
      <c r="F57" s="608">
        <f>'F5'!K57*F54/'F5'!I57</f>
        <v>0</v>
      </c>
      <c r="G57" s="608">
        <f>'F5'!P57*G54/'F5'!N57</f>
        <v>0</v>
      </c>
      <c r="H57" s="608">
        <f>'F5'!U57*H54/'F5'!S57</f>
        <v>0</v>
      </c>
      <c r="I57" s="372"/>
    </row>
    <row r="58" spans="2:13" x14ac:dyDescent="0.25">
      <c r="B58" s="105">
        <f t="shared" si="9"/>
        <v>5</v>
      </c>
      <c r="C58" s="104" t="s">
        <v>39</v>
      </c>
      <c r="D58" s="352">
        <f>D54+D56-D57</f>
        <v>40.081282425546647</v>
      </c>
      <c r="E58" s="352">
        <f>E54+E56-E57</f>
        <v>47.666782425546643</v>
      </c>
      <c r="F58" s="352">
        <f t="shared" ref="F58:H58" si="10">F54+F56-F57</f>
        <v>61.757782425546644</v>
      </c>
      <c r="G58" s="352">
        <f t="shared" si="10"/>
        <v>70.077782425546644</v>
      </c>
      <c r="H58" s="352">
        <f t="shared" si="10"/>
        <v>80.577782425546644</v>
      </c>
      <c r="I58" s="372"/>
    </row>
    <row r="59" spans="2:13" x14ac:dyDescent="0.25">
      <c r="B59" s="105"/>
      <c r="C59" s="104"/>
      <c r="D59" s="352"/>
      <c r="E59" s="352"/>
      <c r="F59" s="352"/>
      <c r="G59" s="352"/>
      <c r="H59" s="352"/>
      <c r="I59" s="372"/>
    </row>
    <row r="60" spans="2:13" x14ac:dyDescent="0.25">
      <c r="B60" s="105"/>
      <c r="C60" s="106" t="s">
        <v>410</v>
      </c>
      <c r="D60" s="352"/>
      <c r="E60" s="352"/>
      <c r="F60" s="352"/>
      <c r="G60" s="352"/>
      <c r="H60" s="352"/>
      <c r="I60" s="372"/>
    </row>
    <row r="61" spans="2:13" x14ac:dyDescent="0.25">
      <c r="B61" s="105">
        <v>6</v>
      </c>
      <c r="C61" s="104" t="s">
        <v>563</v>
      </c>
      <c r="D61" s="374">
        <v>0.14000000000000001</v>
      </c>
      <c r="E61" s="374">
        <v>0.14000000000000001</v>
      </c>
      <c r="F61" s="374">
        <v>0.14000000000000001</v>
      </c>
      <c r="G61" s="374">
        <v>0.14000000000000001</v>
      </c>
      <c r="H61" s="374">
        <v>0.14000000000000001</v>
      </c>
      <c r="I61" s="372"/>
    </row>
    <row r="62" spans="2:13" x14ac:dyDescent="0.25">
      <c r="B62" s="105">
        <v>7</v>
      </c>
      <c r="C62" s="104" t="s">
        <v>597</v>
      </c>
      <c r="D62" s="374">
        <v>0.15500000000000003</v>
      </c>
      <c r="E62" s="374">
        <v>0.15500000000000003</v>
      </c>
      <c r="F62" s="374">
        <v>0.15500000000000003</v>
      </c>
      <c r="G62" s="374">
        <v>0.15500000000000003</v>
      </c>
      <c r="H62" s="374">
        <v>0.15500000000000003</v>
      </c>
      <c r="I62" s="372"/>
    </row>
    <row r="63" spans="2:13" x14ac:dyDescent="0.25">
      <c r="B63" s="105">
        <v>8</v>
      </c>
      <c r="C63" s="104" t="s">
        <v>564</v>
      </c>
      <c r="D63" s="352">
        <f>D54*D62</f>
        <v>4.1704110009597315</v>
      </c>
      <c r="E63" s="352">
        <f>E54*E62</f>
        <v>6.212598775959731</v>
      </c>
      <c r="F63" s="352">
        <f t="shared" ref="F63:H63" si="11">F54*F62</f>
        <v>7.3883512759597307</v>
      </c>
      <c r="G63" s="352">
        <f t="shared" si="11"/>
        <v>9.5724562759597323</v>
      </c>
      <c r="H63" s="352">
        <f t="shared" si="11"/>
        <v>10.862056275959732</v>
      </c>
      <c r="I63" s="372"/>
    </row>
    <row r="64" spans="2:13" x14ac:dyDescent="0.25">
      <c r="B64" s="105">
        <f t="shared" si="9"/>
        <v>9</v>
      </c>
      <c r="C64" s="104" t="s">
        <v>565</v>
      </c>
      <c r="D64" s="352">
        <f>(D56-D57)*D62/2</f>
        <v>1.0210938875000002</v>
      </c>
      <c r="E64" s="352">
        <f>(E56-E57)*E62/2</f>
        <v>0.58787624999999999</v>
      </c>
      <c r="F64" s="352">
        <f t="shared" ref="F64:H64" si="12">(F56-F57)*F62/2</f>
        <v>1.0920525000000001</v>
      </c>
      <c r="G64" s="352">
        <f t="shared" si="12"/>
        <v>0.64480000000000004</v>
      </c>
      <c r="H64" s="352">
        <f t="shared" si="12"/>
        <v>0.8137500000000002</v>
      </c>
      <c r="I64" s="372"/>
    </row>
    <row r="65" spans="2:9" x14ac:dyDescent="0.25">
      <c r="B65" s="120">
        <f t="shared" si="9"/>
        <v>10</v>
      </c>
      <c r="C65" s="106" t="s">
        <v>411</v>
      </c>
      <c r="D65" s="371">
        <f>SUM(D63:D64)</f>
        <v>5.1915048884597317</v>
      </c>
      <c r="E65" s="371">
        <f>SUM(E63:E64)</f>
        <v>6.8004750259597309</v>
      </c>
      <c r="F65" s="371">
        <f t="shared" ref="F65:H65" si="13">SUM(F63:F64)</f>
        <v>8.480403775959731</v>
      </c>
      <c r="G65" s="371">
        <f t="shared" si="13"/>
        <v>10.217256275959732</v>
      </c>
      <c r="H65" s="371">
        <f t="shared" si="13"/>
        <v>11.675806275959733</v>
      </c>
      <c r="I65" s="372"/>
    </row>
  </sheetData>
  <mergeCells count="14">
    <mergeCell ref="B2:M2"/>
    <mergeCell ref="C48:M48"/>
    <mergeCell ref="B5:M5"/>
    <mergeCell ref="B33:B34"/>
    <mergeCell ref="C33:C34"/>
    <mergeCell ref="D33:D34"/>
    <mergeCell ref="C26:M26"/>
    <mergeCell ref="B8:B10"/>
    <mergeCell ref="C8:C10"/>
    <mergeCell ref="D8:F8"/>
    <mergeCell ref="G8:I8"/>
    <mergeCell ref="J8:L8"/>
    <mergeCell ref="C27:O27"/>
    <mergeCell ref="C28:O28"/>
  </mergeCells>
  <pageMargins left="1.02" right="0.25" top="1" bottom="1" header="0.25" footer="0.25"/>
  <pageSetup paperSize="9" scale="38" orientation="landscape" r:id="rId1"/>
  <headerFooter alignWithMargins="0">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66"/>
  <sheetViews>
    <sheetView showGridLines="0" view="pageBreakPreview" topLeftCell="A21" zoomScale="60" zoomScaleNormal="75" workbookViewId="0">
      <selection activeCell="C34" sqref="C34"/>
    </sheetView>
  </sheetViews>
  <sheetFormatPr defaultColWidth="9.36328125" defaultRowHeight="14" x14ac:dyDescent="0.3"/>
  <cols>
    <col min="1" max="1" width="4.36328125" style="5" customWidth="1"/>
    <col min="2" max="2" width="30.453125" style="5" customWidth="1"/>
    <col min="3" max="14" width="10.6328125" style="5" customWidth="1"/>
    <col min="15" max="15" width="16.81640625" style="5" customWidth="1"/>
    <col min="16" max="16384" width="9.36328125" style="5"/>
  </cols>
  <sheetData>
    <row r="1" spans="2:15" x14ac:dyDescent="0.3">
      <c r="B1" s="68"/>
    </row>
    <row r="2" spans="2:15" x14ac:dyDescent="0.3">
      <c r="B2" s="1468" t="str">
        <f>Index!B2</f>
        <v xml:space="preserve">      Maharashtra State Power Generation Company Ltd.</v>
      </c>
      <c r="C2" s="1469"/>
      <c r="D2" s="1469"/>
      <c r="E2" s="1469"/>
      <c r="F2" s="1469"/>
      <c r="G2" s="1469"/>
      <c r="H2" s="1469"/>
      <c r="I2" s="1469"/>
      <c r="J2" s="1469"/>
      <c r="K2" s="1469"/>
      <c r="L2" s="1469"/>
      <c r="M2" s="1469"/>
      <c r="N2" s="1469"/>
      <c r="O2" s="1469"/>
    </row>
    <row r="3" spans="2:15" x14ac:dyDescent="0.3">
      <c r="B3" s="1468" t="str">
        <f>Index!B3</f>
        <v>MYT Petition Formats for SHP Hydro</v>
      </c>
      <c r="C3" s="1469"/>
      <c r="D3" s="1469"/>
      <c r="E3" s="1469"/>
      <c r="F3" s="1469"/>
      <c r="G3" s="1469"/>
      <c r="H3" s="1469"/>
      <c r="I3" s="1469"/>
      <c r="J3" s="1469"/>
      <c r="K3" s="1469"/>
      <c r="L3" s="1469"/>
      <c r="M3" s="1469"/>
      <c r="N3" s="1469"/>
      <c r="O3" s="1469"/>
    </row>
    <row r="4" spans="2:15" x14ac:dyDescent="0.3">
      <c r="B4" s="1678" t="s">
        <v>276</v>
      </c>
      <c r="C4" s="1679"/>
      <c r="D4" s="1679"/>
      <c r="E4" s="1679"/>
      <c r="F4" s="1679"/>
      <c r="G4" s="1679"/>
      <c r="H4" s="1679"/>
      <c r="I4" s="1679"/>
      <c r="J4" s="1679"/>
      <c r="K4" s="1679"/>
      <c r="L4" s="1679"/>
      <c r="M4" s="1679"/>
      <c r="N4" s="1679"/>
      <c r="O4" s="1679"/>
    </row>
    <row r="5" spans="2:15" x14ac:dyDescent="0.3">
      <c r="B5" s="16"/>
      <c r="C5" s="18"/>
      <c r="D5" s="18"/>
      <c r="E5" s="18"/>
      <c r="F5" s="18"/>
      <c r="G5" s="18"/>
      <c r="H5" s="18"/>
      <c r="I5" s="69"/>
    </row>
    <row r="6" spans="2:15" x14ac:dyDescent="0.3">
      <c r="B6" s="266"/>
      <c r="E6" s="272"/>
      <c r="F6" s="273"/>
      <c r="G6" s="272"/>
      <c r="H6" s="272"/>
    </row>
    <row r="7" spans="2:15" x14ac:dyDescent="0.3">
      <c r="B7" s="52" t="s">
        <v>752</v>
      </c>
      <c r="C7" s="18"/>
      <c r="D7" s="18"/>
      <c r="E7" s="18"/>
      <c r="F7" s="18"/>
      <c r="G7" s="18"/>
      <c r="H7" s="18"/>
      <c r="I7" s="69"/>
    </row>
    <row r="8" spans="2:15" x14ac:dyDescent="0.3">
      <c r="B8" s="52" t="s">
        <v>28</v>
      </c>
      <c r="C8" s="60"/>
      <c r="D8" s="60"/>
      <c r="O8" s="60" t="s">
        <v>277</v>
      </c>
    </row>
    <row r="9" spans="2:15" s="6" customFormat="1" ht="15" customHeight="1" x14ac:dyDescent="0.3">
      <c r="B9" s="107" t="s">
        <v>278</v>
      </c>
      <c r="C9" s="87" t="s">
        <v>279</v>
      </c>
      <c r="D9" s="87" t="s">
        <v>280</v>
      </c>
      <c r="E9" s="108" t="s">
        <v>281</v>
      </c>
      <c r="F9" s="108" t="s">
        <v>282</v>
      </c>
      <c r="G9" s="108" t="s">
        <v>283</v>
      </c>
      <c r="H9" s="108" t="s">
        <v>284</v>
      </c>
      <c r="I9" s="108" t="s">
        <v>285</v>
      </c>
      <c r="J9" s="108" t="s">
        <v>286</v>
      </c>
      <c r="K9" s="108" t="s">
        <v>287</v>
      </c>
      <c r="L9" s="108" t="s">
        <v>288</v>
      </c>
      <c r="M9" s="108" t="s">
        <v>289</v>
      </c>
      <c r="N9" s="108" t="s">
        <v>290</v>
      </c>
      <c r="O9" s="108" t="s">
        <v>271</v>
      </c>
    </row>
    <row r="10" spans="2:15" s="6" customFormat="1" x14ac:dyDescent="0.3">
      <c r="B10" s="154" t="s">
        <v>811</v>
      </c>
      <c r="C10" s="512">
        <f>'F9.1'!E19</f>
        <v>81.13299336</v>
      </c>
      <c r="D10" s="512">
        <f>'F9.1'!F19</f>
        <v>59.417284219999999</v>
      </c>
      <c r="E10" s="512">
        <f>'F9.1'!G19</f>
        <v>20.091889579999993</v>
      </c>
      <c r="F10" s="512">
        <f>'F9.1'!H19</f>
        <v>36.256343139999998</v>
      </c>
      <c r="G10" s="512">
        <f>'F9.1'!I19</f>
        <v>64.311228960000037</v>
      </c>
      <c r="H10" s="512">
        <f>'F9.1'!J19</f>
        <v>66.506423479999995</v>
      </c>
      <c r="I10" s="512">
        <f>'F9.1'!K19</f>
        <v>42.208083103936005</v>
      </c>
      <c r="J10" s="512">
        <f>'F9.1'!L19</f>
        <v>26.260251759999992</v>
      </c>
      <c r="K10" s="512">
        <f>'F9.1'!M19</f>
        <v>34.87607108000001</v>
      </c>
      <c r="L10" s="512">
        <f>'F9.1'!N19</f>
        <v>79.280339240000004</v>
      </c>
      <c r="M10" s="512">
        <f>'F9.1'!O19</f>
        <v>60.199029979999978</v>
      </c>
      <c r="N10" s="512">
        <f>'F9.1'!P19</f>
        <v>85.41393616000002</v>
      </c>
      <c r="O10" s="363">
        <f>SUM(C10:N10)</f>
        <v>655.95387406393615</v>
      </c>
    </row>
    <row r="11" spans="2:15" s="6" customFormat="1" x14ac:dyDescent="0.3">
      <c r="B11" s="109"/>
      <c r="C11" s="363"/>
      <c r="D11" s="363"/>
      <c r="E11" s="363"/>
      <c r="F11" s="363"/>
      <c r="G11" s="363"/>
      <c r="H11" s="363"/>
      <c r="I11" s="363"/>
      <c r="J11" s="363"/>
      <c r="K11" s="363"/>
      <c r="L11" s="363"/>
      <c r="M11" s="363"/>
      <c r="N11" s="363"/>
      <c r="O11" s="363">
        <f>SUM(C11:N11)</f>
        <v>0</v>
      </c>
    </row>
    <row r="12" spans="2:15" s="1" customFormat="1" x14ac:dyDescent="0.3">
      <c r="B12" s="70" t="s">
        <v>271</v>
      </c>
      <c r="C12" s="395">
        <f>SUM(C10:C11)</f>
        <v>81.13299336</v>
      </c>
      <c r="D12" s="395">
        <f t="shared" ref="D12" si="0">SUM(D10:D11)</f>
        <v>59.417284219999999</v>
      </c>
      <c r="E12" s="395">
        <f t="shared" ref="E12" si="1">SUM(E10:E11)</f>
        <v>20.091889579999993</v>
      </c>
      <c r="F12" s="395">
        <f t="shared" ref="F12" si="2">SUM(F10:F11)</f>
        <v>36.256343139999998</v>
      </c>
      <c r="G12" s="395">
        <f t="shared" ref="G12" si="3">SUM(G10:G11)</f>
        <v>64.311228960000037</v>
      </c>
      <c r="H12" s="395">
        <f t="shared" ref="H12" si="4">SUM(H10:H11)</f>
        <v>66.506423479999995</v>
      </c>
      <c r="I12" s="395">
        <f t="shared" ref="I12" si="5">SUM(I10:I11)</f>
        <v>42.208083103936005</v>
      </c>
      <c r="J12" s="395">
        <f t="shared" ref="J12" si="6">SUM(J10:J11)</f>
        <v>26.260251759999992</v>
      </c>
      <c r="K12" s="395">
        <f t="shared" ref="K12" si="7">SUM(K10:K11)</f>
        <v>34.87607108000001</v>
      </c>
      <c r="L12" s="395">
        <f t="shared" ref="L12" si="8">SUM(L10:L11)</f>
        <v>79.280339240000004</v>
      </c>
      <c r="M12" s="395">
        <f t="shared" ref="M12" si="9">SUM(M10:M11)</f>
        <v>60.199029979999978</v>
      </c>
      <c r="N12" s="395">
        <f t="shared" ref="N12" si="10">SUM(N10:N11)</f>
        <v>85.41393616000002</v>
      </c>
      <c r="O12" s="395">
        <f t="shared" ref="O12" si="11">SUM(O10:O11)</f>
        <v>655.95387406393615</v>
      </c>
    </row>
    <row r="13" spans="2:15" s="1" customFormat="1" ht="16" x14ac:dyDescent="0.3">
      <c r="B13" s="52"/>
      <c r="C13" s="18"/>
      <c r="D13" s="18"/>
      <c r="E13" s="18"/>
      <c r="F13" s="18"/>
      <c r="G13" s="18"/>
      <c r="H13" s="18"/>
      <c r="I13" s="43"/>
      <c r="J13" s="66"/>
    </row>
    <row r="14" spans="2:15" x14ac:dyDescent="0.3">
      <c r="B14" s="52" t="s">
        <v>965</v>
      </c>
      <c r="C14" s="18"/>
      <c r="D14" s="18"/>
      <c r="E14" s="18"/>
      <c r="F14" s="18"/>
      <c r="G14" s="18"/>
      <c r="H14" s="18"/>
      <c r="I14" s="69"/>
    </row>
    <row r="15" spans="2:15" x14ac:dyDescent="0.3">
      <c r="B15" s="52" t="s">
        <v>28</v>
      </c>
      <c r="C15" s="60"/>
      <c r="D15" s="60"/>
      <c r="O15" s="60" t="s">
        <v>277</v>
      </c>
    </row>
    <row r="16" spans="2:15" s="6" customFormat="1" ht="15" customHeight="1" x14ac:dyDescent="0.3">
      <c r="B16" s="107" t="s">
        <v>278</v>
      </c>
      <c r="C16" s="339" t="s">
        <v>279</v>
      </c>
      <c r="D16" s="339" t="s">
        <v>280</v>
      </c>
      <c r="E16" s="108" t="s">
        <v>281</v>
      </c>
      <c r="F16" s="108" t="s">
        <v>282</v>
      </c>
      <c r="G16" s="108" t="s">
        <v>283</v>
      </c>
      <c r="H16" s="108" t="s">
        <v>284</v>
      </c>
      <c r="I16" s="108" t="s">
        <v>285</v>
      </c>
      <c r="J16" s="108" t="s">
        <v>286</v>
      </c>
      <c r="K16" s="108" t="s">
        <v>287</v>
      </c>
      <c r="L16" s="108" t="s">
        <v>288</v>
      </c>
      <c r="M16" s="108" t="s">
        <v>289</v>
      </c>
      <c r="N16" s="108" t="s">
        <v>290</v>
      </c>
      <c r="O16" s="108" t="s">
        <v>271</v>
      </c>
    </row>
    <row r="17" spans="1:17" s="6" customFormat="1" x14ac:dyDescent="0.3">
      <c r="B17" s="154" t="s">
        <v>811</v>
      </c>
      <c r="C17" s="512">
        <f>'F9.1'!E48</f>
        <v>77.332317999999987</v>
      </c>
      <c r="D17" s="512">
        <f>'F9.1'!F48</f>
        <v>58.459603239999922</v>
      </c>
      <c r="E17" s="512">
        <f>'F9.1'!G48</f>
        <v>40.847073300000034</v>
      </c>
      <c r="F17" s="512">
        <f>'F9.1'!H48</f>
        <v>10.708307200000007</v>
      </c>
      <c r="G17" s="512">
        <f>'F9.1'!I48</f>
        <v>25.094954600000023</v>
      </c>
      <c r="H17" s="512">
        <f>'F9.1'!J48</f>
        <v>43.078939339838968</v>
      </c>
      <c r="I17" s="512">
        <f>'F9.1'!K48</f>
        <v>24.076023709999987</v>
      </c>
      <c r="J17" s="512">
        <f>'F9.1'!L48</f>
        <v>33.525321560000037</v>
      </c>
      <c r="K17" s="512">
        <f>'F9.1'!M48</f>
        <v>58.493539200000015</v>
      </c>
      <c r="L17" s="512">
        <f>'F9.1'!N48</f>
        <v>76.163741400000035</v>
      </c>
      <c r="M17" s="512">
        <f>'F9.1'!O48</f>
        <v>62.67090399999995</v>
      </c>
      <c r="N17" s="512">
        <f>'F9.1'!P48</f>
        <v>72.950356299999953</v>
      </c>
      <c r="O17" s="363">
        <f>SUM(C17:N17)</f>
        <v>583.40108184983887</v>
      </c>
    </row>
    <row r="18" spans="1:17" s="6" customFormat="1" x14ac:dyDescent="0.3">
      <c r="B18" s="109"/>
      <c r="C18" s="363"/>
      <c r="D18" s="363"/>
      <c r="E18" s="363"/>
      <c r="F18" s="363"/>
      <c r="G18" s="363"/>
      <c r="H18" s="363"/>
      <c r="I18" s="363"/>
      <c r="J18" s="363"/>
      <c r="K18" s="363"/>
      <c r="L18" s="363"/>
      <c r="M18" s="363"/>
      <c r="N18" s="363"/>
      <c r="O18" s="363">
        <f>SUM(C18:N18)</f>
        <v>0</v>
      </c>
    </row>
    <row r="19" spans="1:17" s="1" customFormat="1" x14ac:dyDescent="0.3">
      <c r="B19" s="70" t="s">
        <v>271</v>
      </c>
      <c r="C19" s="395">
        <f>SUM(C17:C18)</f>
        <v>77.332317999999987</v>
      </c>
      <c r="D19" s="395">
        <f t="shared" ref="D19" si="12">SUM(D17:D18)</f>
        <v>58.459603239999922</v>
      </c>
      <c r="E19" s="395">
        <f t="shared" ref="E19" si="13">SUM(E17:E18)</f>
        <v>40.847073300000034</v>
      </c>
      <c r="F19" s="395">
        <f t="shared" ref="F19" si="14">SUM(F17:F18)</f>
        <v>10.708307200000007</v>
      </c>
      <c r="G19" s="395">
        <f t="shared" ref="G19" si="15">SUM(G17:G18)</f>
        <v>25.094954600000023</v>
      </c>
      <c r="H19" s="395">
        <f t="shared" ref="H19" si="16">SUM(H17:H18)</f>
        <v>43.078939339838968</v>
      </c>
      <c r="I19" s="395">
        <f t="shared" ref="I19" si="17">SUM(I17:I18)</f>
        <v>24.076023709999987</v>
      </c>
      <c r="J19" s="395">
        <f t="shared" ref="J19" si="18">SUM(J17:J18)</f>
        <v>33.525321560000037</v>
      </c>
      <c r="K19" s="395">
        <f t="shared" ref="K19" si="19">SUM(K17:K18)</f>
        <v>58.493539200000015</v>
      </c>
      <c r="L19" s="395">
        <f t="shared" ref="L19" si="20">SUM(L17:L18)</f>
        <v>76.163741400000035</v>
      </c>
      <c r="M19" s="395">
        <f t="shared" ref="M19" si="21">SUM(M17:M18)</f>
        <v>62.67090399999995</v>
      </c>
      <c r="N19" s="395">
        <f t="shared" ref="N19" si="22">SUM(N17:N18)</f>
        <v>72.950356299999953</v>
      </c>
      <c r="O19" s="395">
        <f t="shared" ref="O19" si="23">SUM(O17:O18)</f>
        <v>583.40108184983887</v>
      </c>
    </row>
    <row r="20" spans="1:17" s="1" customFormat="1" ht="16" x14ac:dyDescent="0.3">
      <c r="B20" s="52"/>
      <c r="C20" s="18"/>
      <c r="D20" s="18"/>
      <c r="E20" s="18"/>
      <c r="F20" s="18"/>
      <c r="G20" s="18"/>
      <c r="H20" s="18"/>
      <c r="I20" s="43"/>
      <c r="J20" s="66"/>
    </row>
    <row r="21" spans="1:17" s="1" customFormat="1" ht="16" x14ac:dyDescent="0.3">
      <c r="B21" s="52" t="s">
        <v>966</v>
      </c>
      <c r="C21" s="18"/>
      <c r="D21" s="18"/>
      <c r="E21" s="18"/>
      <c r="F21" s="18"/>
      <c r="G21" s="18"/>
      <c r="H21" s="18"/>
      <c r="I21" s="18"/>
      <c r="J21" s="18"/>
      <c r="K21" s="18"/>
      <c r="L21" s="18"/>
      <c r="M21" s="18"/>
      <c r="N21" s="18"/>
      <c r="O21" s="69"/>
      <c r="P21" s="43"/>
      <c r="Q21" s="66"/>
    </row>
    <row r="22" spans="1:17" s="1" customFormat="1" ht="16" x14ac:dyDescent="0.3">
      <c r="A22" s="1" t="s">
        <v>291</v>
      </c>
      <c r="B22" s="52" t="s">
        <v>12</v>
      </c>
      <c r="C22" s="60"/>
      <c r="D22" s="60"/>
      <c r="E22" s="5"/>
      <c r="F22" s="5"/>
      <c r="G22" s="5"/>
      <c r="H22" s="5"/>
      <c r="I22" s="5"/>
      <c r="J22" s="5"/>
      <c r="K22" s="5"/>
      <c r="L22" s="5"/>
      <c r="M22" s="5"/>
      <c r="N22" s="5"/>
      <c r="O22" s="60" t="s">
        <v>277</v>
      </c>
      <c r="P22" s="43"/>
    </row>
    <row r="23" spans="1:17" s="1" customFormat="1" ht="18.75" customHeight="1" x14ac:dyDescent="0.3">
      <c r="B23" s="1521" t="s">
        <v>278</v>
      </c>
      <c r="C23" s="1680" t="s">
        <v>292</v>
      </c>
      <c r="D23" s="1680"/>
      <c r="E23" s="1680"/>
      <c r="F23" s="1680"/>
      <c r="G23" s="1680"/>
      <c r="H23" s="1680"/>
      <c r="I23" s="1680"/>
      <c r="J23" s="1680"/>
      <c r="K23" s="1523" t="s">
        <v>12</v>
      </c>
      <c r="L23" s="1523"/>
      <c r="M23" s="1523"/>
      <c r="N23" s="1523"/>
      <c r="O23" s="580" t="s">
        <v>293</v>
      </c>
      <c r="P23" s="43"/>
      <c r="Q23" s="43"/>
    </row>
    <row r="24" spans="1:17" s="34" customFormat="1" x14ac:dyDescent="0.3">
      <c r="B24" s="1521"/>
      <c r="C24" s="580" t="s">
        <v>279</v>
      </c>
      <c r="D24" s="580" t="s">
        <v>280</v>
      </c>
      <c r="E24" s="108" t="s">
        <v>281</v>
      </c>
      <c r="F24" s="108" t="s">
        <v>282</v>
      </c>
      <c r="G24" s="108" t="s">
        <v>283</v>
      </c>
      <c r="H24" s="108" t="s">
        <v>284</v>
      </c>
      <c r="I24" s="108" t="s">
        <v>285</v>
      </c>
      <c r="J24" s="108" t="s">
        <v>286</v>
      </c>
      <c r="K24" s="108" t="s">
        <v>287</v>
      </c>
      <c r="L24" s="108" t="s">
        <v>288</v>
      </c>
      <c r="M24" s="108" t="s">
        <v>289</v>
      </c>
      <c r="N24" s="108" t="s">
        <v>290</v>
      </c>
      <c r="O24" s="110"/>
    </row>
    <row r="25" spans="1:17" s="6" customFormat="1" x14ac:dyDescent="0.3">
      <c r="B25" s="154" t="s">
        <v>811</v>
      </c>
      <c r="C25" s="511">
        <f>'F2.5'!$L$19/183*30</f>
        <v>50.394537737704923</v>
      </c>
      <c r="D25" s="511">
        <f>'F2.5'!$L$19/183*31</f>
        <v>52.07435566229509</v>
      </c>
      <c r="E25" s="511">
        <f>'F2.5'!$L$19/183*30</f>
        <v>50.394537737704923</v>
      </c>
      <c r="F25" s="511">
        <f>'F2.5'!$L$19/183*31</f>
        <v>52.07435566229509</v>
      </c>
      <c r="G25" s="511">
        <f>'F2.5'!$L$19/183*31</f>
        <v>52.07435566229509</v>
      </c>
      <c r="H25" s="511">
        <f>'F2.5'!$L$19/183*30</f>
        <v>50.394537737704923</v>
      </c>
      <c r="I25" s="511">
        <v>76.033211494505508</v>
      </c>
      <c r="J25" s="511">
        <v>73.580527252747274</v>
      </c>
      <c r="K25" s="511">
        <v>76.033211494505508</v>
      </c>
      <c r="L25" s="511">
        <v>76.033211494505508</v>
      </c>
      <c r="M25" s="511">
        <v>68.675158769230791</v>
      </c>
      <c r="N25" s="511">
        <v>76.033211494505508</v>
      </c>
      <c r="O25" s="511">
        <f>SUM(C25:N25)</f>
        <v>753.79521220000004</v>
      </c>
    </row>
    <row r="26" spans="1:17" s="6" customFormat="1" x14ac:dyDescent="0.3">
      <c r="B26" s="109"/>
      <c r="C26" s="512"/>
      <c r="D26" s="512"/>
      <c r="E26" s="512"/>
      <c r="F26" s="512"/>
      <c r="G26" s="512"/>
      <c r="H26" s="512"/>
      <c r="I26" s="512"/>
      <c r="J26" s="512"/>
      <c r="K26" s="512"/>
      <c r="L26" s="512"/>
      <c r="M26" s="512"/>
      <c r="N26" s="512"/>
      <c r="O26" s="512">
        <f>SUM(C26:N26)</f>
        <v>0</v>
      </c>
    </row>
    <row r="27" spans="1:17" s="1" customFormat="1" x14ac:dyDescent="0.3">
      <c r="B27" s="70" t="s">
        <v>271</v>
      </c>
      <c r="C27" s="483">
        <f t="shared" ref="C27:O27" si="24">SUM(C25:C26)</f>
        <v>50.394537737704923</v>
      </c>
      <c r="D27" s="483">
        <f t="shared" si="24"/>
        <v>52.07435566229509</v>
      </c>
      <c r="E27" s="483">
        <f t="shared" si="24"/>
        <v>50.394537737704923</v>
      </c>
      <c r="F27" s="483">
        <f t="shared" si="24"/>
        <v>52.07435566229509</v>
      </c>
      <c r="G27" s="483">
        <f t="shared" si="24"/>
        <v>52.07435566229509</v>
      </c>
      <c r="H27" s="483">
        <f t="shared" si="24"/>
        <v>50.394537737704923</v>
      </c>
      <c r="I27" s="483">
        <f t="shared" si="24"/>
        <v>76.033211494505508</v>
      </c>
      <c r="J27" s="483">
        <f t="shared" si="24"/>
        <v>73.580527252747274</v>
      </c>
      <c r="K27" s="483">
        <f t="shared" si="24"/>
        <v>76.033211494505508</v>
      </c>
      <c r="L27" s="483">
        <f t="shared" si="24"/>
        <v>76.033211494505508</v>
      </c>
      <c r="M27" s="483">
        <f t="shared" si="24"/>
        <v>68.675158769230791</v>
      </c>
      <c r="N27" s="483">
        <f t="shared" si="24"/>
        <v>76.033211494505508</v>
      </c>
      <c r="O27" s="483">
        <f t="shared" si="24"/>
        <v>753.79521220000004</v>
      </c>
    </row>
    <row r="29" spans="1:17" s="1" customFormat="1" ht="16" x14ac:dyDescent="0.3">
      <c r="B29" s="52"/>
      <c r="C29" s="18"/>
      <c r="D29" s="18"/>
      <c r="E29" s="18"/>
      <c r="F29" s="18"/>
      <c r="G29" s="18"/>
      <c r="H29" s="18"/>
      <c r="I29" s="18"/>
      <c r="J29" s="18"/>
      <c r="K29" s="18"/>
      <c r="L29" s="18"/>
      <c r="M29" s="18"/>
      <c r="N29" s="18"/>
      <c r="O29" s="69"/>
      <c r="P29" s="43"/>
      <c r="Q29" s="66"/>
    </row>
    <row r="30" spans="1:17" x14ac:dyDescent="0.3">
      <c r="B30" s="52" t="s">
        <v>967</v>
      </c>
      <c r="C30" s="18"/>
      <c r="D30" s="18"/>
      <c r="E30" s="18"/>
      <c r="F30" s="18"/>
      <c r="G30" s="18"/>
      <c r="H30" s="18"/>
      <c r="I30" s="69"/>
    </row>
    <row r="31" spans="1:17" x14ac:dyDescent="0.3">
      <c r="B31" s="52" t="s">
        <v>21</v>
      </c>
      <c r="C31" s="60"/>
      <c r="D31" s="60"/>
      <c r="O31" s="60" t="s">
        <v>277</v>
      </c>
    </row>
    <row r="32" spans="1:17" x14ac:dyDescent="0.3">
      <c r="B32" s="107" t="s">
        <v>278</v>
      </c>
      <c r="C32" s="580" t="s">
        <v>279</v>
      </c>
      <c r="D32" s="580" t="s">
        <v>280</v>
      </c>
      <c r="E32" s="108" t="s">
        <v>281</v>
      </c>
      <c r="F32" s="108" t="s">
        <v>282</v>
      </c>
      <c r="G32" s="108" t="s">
        <v>283</v>
      </c>
      <c r="H32" s="108" t="s">
        <v>284</v>
      </c>
      <c r="I32" s="108" t="s">
        <v>285</v>
      </c>
      <c r="J32" s="108" t="s">
        <v>286</v>
      </c>
      <c r="K32" s="108" t="s">
        <v>287</v>
      </c>
      <c r="L32" s="108" t="s">
        <v>288</v>
      </c>
      <c r="M32" s="108" t="s">
        <v>289</v>
      </c>
      <c r="N32" s="108" t="s">
        <v>290</v>
      </c>
      <c r="O32" s="108" t="s">
        <v>271</v>
      </c>
    </row>
    <row r="33" spans="2:15" x14ac:dyDescent="0.3">
      <c r="B33" s="154" t="s">
        <v>811</v>
      </c>
      <c r="C33" s="612">
        <f>'F9.2'!$G$23*C25/$O$25</f>
        <v>72.306465790797532</v>
      </c>
      <c r="D33" s="511">
        <f>'F9.2'!$G$23*D25/$O$25</f>
        <v>74.716681317157452</v>
      </c>
      <c r="E33" s="511">
        <f>'F9.2'!$G$23*E25/$O$25</f>
        <v>72.306465790797532</v>
      </c>
      <c r="F33" s="511">
        <f>'F9.2'!$G$23*F25/$O$25</f>
        <v>74.716681317157452</v>
      </c>
      <c r="G33" s="511">
        <f>'F9.2'!$G$23*G25/$O$25</f>
        <v>74.716681317157452</v>
      </c>
      <c r="H33" s="511">
        <f>'F9.2'!$G$23*H25/$O$25</f>
        <v>72.306465790797532</v>
      </c>
      <c r="I33" s="511">
        <f>'F9.2'!$G$23*I25/$O$25</f>
        <v>109.09302977450652</v>
      </c>
      <c r="J33" s="511">
        <f>'F9.2'!$G$23*J25/$O$25</f>
        <v>105.57389978178051</v>
      </c>
      <c r="K33" s="511">
        <f>'F9.2'!$G$23*K25/$O$25</f>
        <v>109.09302977450652</v>
      </c>
      <c r="L33" s="511">
        <f>'F9.2'!$G$23*L25/$O$25</f>
        <v>109.09302977450652</v>
      </c>
      <c r="M33" s="511">
        <f>'F9.2'!$G$23*M25/$O$25</f>
        <v>98.535639796328482</v>
      </c>
      <c r="N33" s="511">
        <f>'F9.2'!$G$23*N25/$O$25</f>
        <v>109.09302977450652</v>
      </c>
      <c r="O33" s="511">
        <f>SUM(C33:N33)</f>
        <v>1081.5510999999999</v>
      </c>
    </row>
    <row r="34" spans="2:15" x14ac:dyDescent="0.3">
      <c r="B34" s="109"/>
      <c r="C34" s="512"/>
      <c r="D34" s="512"/>
      <c r="E34" s="512"/>
      <c r="F34" s="512"/>
      <c r="G34" s="512"/>
      <c r="H34" s="512"/>
      <c r="I34" s="512"/>
      <c r="J34" s="512"/>
      <c r="K34" s="512"/>
      <c r="L34" s="512"/>
      <c r="M34" s="512"/>
      <c r="N34" s="512"/>
      <c r="O34" s="512">
        <f>SUM(C34:N34)</f>
        <v>0</v>
      </c>
    </row>
    <row r="35" spans="2:15" x14ac:dyDescent="0.3">
      <c r="B35" s="70" t="s">
        <v>271</v>
      </c>
      <c r="C35" s="483">
        <f t="shared" ref="C35:O35" si="25">SUM(C33:C34)</f>
        <v>72.306465790797532</v>
      </c>
      <c r="D35" s="483">
        <f t="shared" si="25"/>
        <v>74.716681317157452</v>
      </c>
      <c r="E35" s="483">
        <f t="shared" si="25"/>
        <v>72.306465790797532</v>
      </c>
      <c r="F35" s="483">
        <f t="shared" si="25"/>
        <v>74.716681317157452</v>
      </c>
      <c r="G35" s="483">
        <f t="shared" si="25"/>
        <v>74.716681317157452</v>
      </c>
      <c r="H35" s="483">
        <f t="shared" si="25"/>
        <v>72.306465790797532</v>
      </c>
      <c r="I35" s="483">
        <f t="shared" si="25"/>
        <v>109.09302977450652</v>
      </c>
      <c r="J35" s="483">
        <f t="shared" si="25"/>
        <v>105.57389978178051</v>
      </c>
      <c r="K35" s="483">
        <f t="shared" si="25"/>
        <v>109.09302977450652</v>
      </c>
      <c r="L35" s="483">
        <f t="shared" si="25"/>
        <v>109.09302977450652</v>
      </c>
      <c r="M35" s="483">
        <f t="shared" si="25"/>
        <v>98.535639796328482</v>
      </c>
      <c r="N35" s="483">
        <f t="shared" si="25"/>
        <v>109.09302977450652</v>
      </c>
      <c r="O35" s="483">
        <f t="shared" si="25"/>
        <v>1081.5510999999999</v>
      </c>
    </row>
    <row r="38" spans="2:15" x14ac:dyDescent="0.3">
      <c r="B38" s="52" t="s">
        <v>968</v>
      </c>
      <c r="C38" s="18"/>
      <c r="D38" s="18"/>
      <c r="E38" s="18"/>
      <c r="F38" s="18"/>
      <c r="G38" s="18"/>
      <c r="H38" s="18"/>
      <c r="I38" s="69"/>
    </row>
    <row r="39" spans="2:15" x14ac:dyDescent="0.3">
      <c r="B39" s="52" t="s">
        <v>969</v>
      </c>
      <c r="C39" s="60"/>
      <c r="D39" s="60"/>
      <c r="O39" s="60" t="s">
        <v>277</v>
      </c>
    </row>
    <row r="40" spans="2:15" x14ac:dyDescent="0.3">
      <c r="B40" s="107" t="s">
        <v>278</v>
      </c>
      <c r="C40" s="580" t="s">
        <v>279</v>
      </c>
      <c r="D40" s="580" t="s">
        <v>280</v>
      </c>
      <c r="E40" s="108" t="s">
        <v>281</v>
      </c>
      <c r="F40" s="108" t="s">
        <v>282</v>
      </c>
      <c r="G40" s="108" t="s">
        <v>283</v>
      </c>
      <c r="H40" s="108" t="s">
        <v>284</v>
      </c>
      <c r="I40" s="108" t="s">
        <v>285</v>
      </c>
      <c r="J40" s="108" t="s">
        <v>286</v>
      </c>
      <c r="K40" s="108" t="s">
        <v>287</v>
      </c>
      <c r="L40" s="108" t="s">
        <v>288</v>
      </c>
      <c r="M40" s="108" t="s">
        <v>289</v>
      </c>
      <c r="N40" s="108" t="s">
        <v>290</v>
      </c>
      <c r="O40" s="108" t="s">
        <v>271</v>
      </c>
    </row>
    <row r="41" spans="2:15" x14ac:dyDescent="0.3">
      <c r="B41" s="154" t="s">
        <v>811</v>
      </c>
      <c r="C41" s="511">
        <f>'F9.2'!$G$34*C25/$O$25</f>
        <v>72.306465790797532</v>
      </c>
      <c r="D41" s="511">
        <f>'F9.2'!$G$34*D25/$O$25</f>
        <v>74.716681317157452</v>
      </c>
      <c r="E41" s="511">
        <f>'F9.2'!$G$34*E25/$O$25</f>
        <v>72.306465790797532</v>
      </c>
      <c r="F41" s="511">
        <f>'F9.2'!$G$34*F25/$O$25</f>
        <v>74.716681317157452</v>
      </c>
      <c r="G41" s="511">
        <f>'F9.2'!$G$34*G25/$O$25</f>
        <v>74.716681317157452</v>
      </c>
      <c r="H41" s="511">
        <f>'F9.2'!$G$34*H25/$O$25</f>
        <v>72.306465790797532</v>
      </c>
      <c r="I41" s="511">
        <f>'F9.2'!$G$34*I25/$O$25</f>
        <v>109.09302977450652</v>
      </c>
      <c r="J41" s="511">
        <f>'F9.2'!$G$34*J25/$O$25</f>
        <v>105.57389978178051</v>
      </c>
      <c r="K41" s="511">
        <f>'F9.2'!$G$34*K25/$O$25</f>
        <v>109.09302977450652</v>
      </c>
      <c r="L41" s="511">
        <f>'F9.2'!$G$34*L25/$O$25</f>
        <v>109.09302977450652</v>
      </c>
      <c r="M41" s="511">
        <f>'F9.2'!$G$34*M25/$O$25</f>
        <v>98.535639796328482</v>
      </c>
      <c r="N41" s="511">
        <f>'F9.2'!$G$34*N25/$O$25</f>
        <v>109.09302977450652</v>
      </c>
      <c r="O41" s="511">
        <f>SUM(C41:N41)</f>
        <v>1081.5510999999999</v>
      </c>
    </row>
    <row r="42" spans="2:15" x14ac:dyDescent="0.3">
      <c r="B42" s="109"/>
      <c r="C42" s="512"/>
      <c r="D42" s="512"/>
      <c r="E42" s="512"/>
      <c r="F42" s="512"/>
      <c r="G42" s="512"/>
      <c r="H42" s="512"/>
      <c r="I42" s="512"/>
      <c r="J42" s="512"/>
      <c r="K42" s="512"/>
      <c r="L42" s="512"/>
      <c r="M42" s="512"/>
      <c r="N42" s="512"/>
      <c r="O42" s="512">
        <f>SUM(C42:N42)</f>
        <v>0</v>
      </c>
    </row>
    <row r="43" spans="2:15" x14ac:dyDescent="0.3">
      <c r="B43" s="70" t="s">
        <v>271</v>
      </c>
      <c r="C43" s="483">
        <f>SUM(C41:C42)</f>
        <v>72.306465790797532</v>
      </c>
      <c r="D43" s="483">
        <f t="shared" ref="D43:O43" si="26">SUM(D41:D42)</f>
        <v>74.716681317157452</v>
      </c>
      <c r="E43" s="483">
        <f t="shared" si="26"/>
        <v>72.306465790797532</v>
      </c>
      <c r="F43" s="483">
        <f t="shared" si="26"/>
        <v>74.716681317157452</v>
      </c>
      <c r="G43" s="483">
        <f t="shared" si="26"/>
        <v>74.716681317157452</v>
      </c>
      <c r="H43" s="483">
        <f t="shared" si="26"/>
        <v>72.306465790797532</v>
      </c>
      <c r="I43" s="483">
        <f t="shared" si="26"/>
        <v>109.09302977450652</v>
      </c>
      <c r="J43" s="483">
        <f t="shared" si="26"/>
        <v>105.57389978178051</v>
      </c>
      <c r="K43" s="483">
        <f t="shared" si="26"/>
        <v>109.09302977450652</v>
      </c>
      <c r="L43" s="483">
        <f t="shared" si="26"/>
        <v>109.09302977450652</v>
      </c>
      <c r="M43" s="483">
        <f t="shared" si="26"/>
        <v>98.535639796328482</v>
      </c>
      <c r="N43" s="483">
        <f t="shared" si="26"/>
        <v>109.09302977450652</v>
      </c>
      <c r="O43" s="483">
        <f t="shared" si="26"/>
        <v>1081.5510999999999</v>
      </c>
    </row>
    <row r="45" spans="2:15" x14ac:dyDescent="0.3">
      <c r="B45" s="52" t="s">
        <v>1446</v>
      </c>
      <c r="C45" s="18"/>
      <c r="D45" s="18"/>
      <c r="E45" s="18"/>
      <c r="F45" s="18"/>
      <c r="G45" s="18"/>
      <c r="H45" s="18"/>
      <c r="I45" s="69"/>
    </row>
    <row r="46" spans="2:15" x14ac:dyDescent="0.3">
      <c r="B46" s="52" t="s">
        <v>736</v>
      </c>
      <c r="C46" s="60"/>
      <c r="D46" s="60"/>
      <c r="O46" s="60" t="s">
        <v>277</v>
      </c>
    </row>
    <row r="47" spans="2:15" x14ac:dyDescent="0.3">
      <c r="B47" s="107" t="s">
        <v>278</v>
      </c>
      <c r="C47" s="947" t="s">
        <v>279</v>
      </c>
      <c r="D47" s="947" t="s">
        <v>280</v>
      </c>
      <c r="E47" s="108" t="s">
        <v>281</v>
      </c>
      <c r="F47" s="108" t="s">
        <v>282</v>
      </c>
      <c r="G47" s="108" t="s">
        <v>283</v>
      </c>
      <c r="H47" s="108" t="s">
        <v>284</v>
      </c>
      <c r="I47" s="108" t="s">
        <v>285</v>
      </c>
      <c r="J47" s="108" t="s">
        <v>286</v>
      </c>
      <c r="K47" s="108" t="s">
        <v>287</v>
      </c>
      <c r="L47" s="108" t="s">
        <v>288</v>
      </c>
      <c r="M47" s="108" t="s">
        <v>289</v>
      </c>
      <c r="N47" s="108" t="s">
        <v>290</v>
      </c>
      <c r="O47" s="108" t="s">
        <v>271</v>
      </c>
    </row>
    <row r="48" spans="2:15" x14ac:dyDescent="0.3">
      <c r="B48" s="154" t="s">
        <v>811</v>
      </c>
      <c r="C48" s="511">
        <f>'F9.2'!$G$34*C25/$O$25</f>
        <v>72.306465790797532</v>
      </c>
      <c r="D48" s="511">
        <f>'F9.2'!$G$34*D25/$O$25</f>
        <v>74.716681317157452</v>
      </c>
      <c r="E48" s="511">
        <f>'F9.2'!$G$34*E25/$O$25</f>
        <v>72.306465790797532</v>
      </c>
      <c r="F48" s="511">
        <f>'F9.2'!$G$34*F25/$O$25</f>
        <v>74.716681317157452</v>
      </c>
      <c r="G48" s="511">
        <f>'F9.2'!$G$34*G25/$O$25</f>
        <v>74.716681317157452</v>
      </c>
      <c r="H48" s="511">
        <f>'F9.2'!$G$34*H25/$O$25</f>
        <v>72.306465790797532</v>
      </c>
      <c r="I48" s="511">
        <f>'F9.2'!$G$34*I25/$O$25</f>
        <v>109.09302977450652</v>
      </c>
      <c r="J48" s="511">
        <f>'F9.2'!$G$34*J25/$O$25</f>
        <v>105.57389978178051</v>
      </c>
      <c r="K48" s="511">
        <f>'F9.2'!$G$34*K25/$O$25</f>
        <v>109.09302977450652</v>
      </c>
      <c r="L48" s="511">
        <f>'F9.2'!$G$34*L25/$O$25</f>
        <v>109.09302977450652</v>
      </c>
      <c r="M48" s="511">
        <f>'F9.2'!$G$34*M25/$O$25</f>
        <v>98.535639796328482</v>
      </c>
      <c r="N48" s="511">
        <f>'F9.2'!$G$34*N25/$O$25</f>
        <v>109.09302977450652</v>
      </c>
      <c r="O48" s="511">
        <f>SUM(C48:N48)</f>
        <v>1081.5510999999999</v>
      </c>
    </row>
    <row r="49" spans="2:15" x14ac:dyDescent="0.3">
      <c r="B49" s="109"/>
      <c r="C49" s="512"/>
      <c r="D49" s="512"/>
      <c r="E49" s="512"/>
      <c r="F49" s="512"/>
      <c r="G49" s="512"/>
      <c r="H49" s="512"/>
      <c r="I49" s="512"/>
      <c r="J49" s="512"/>
      <c r="K49" s="512"/>
      <c r="L49" s="512"/>
      <c r="M49" s="512"/>
      <c r="N49" s="512"/>
      <c r="O49" s="512">
        <f>SUM(C49:N49)</f>
        <v>0</v>
      </c>
    </row>
    <row r="50" spans="2:15" x14ac:dyDescent="0.3">
      <c r="B50" s="70" t="s">
        <v>271</v>
      </c>
      <c r="C50" s="483">
        <f>SUM(C48:C49)</f>
        <v>72.306465790797532</v>
      </c>
      <c r="D50" s="483">
        <f t="shared" ref="D50:O50" si="27">SUM(D48:D49)</f>
        <v>74.716681317157452</v>
      </c>
      <c r="E50" s="483">
        <f t="shared" si="27"/>
        <v>72.306465790797532</v>
      </c>
      <c r="F50" s="483">
        <f t="shared" si="27"/>
        <v>74.716681317157452</v>
      </c>
      <c r="G50" s="483">
        <f t="shared" si="27"/>
        <v>74.716681317157452</v>
      </c>
      <c r="H50" s="483">
        <f t="shared" si="27"/>
        <v>72.306465790797532</v>
      </c>
      <c r="I50" s="483">
        <f t="shared" si="27"/>
        <v>109.09302977450652</v>
      </c>
      <c r="J50" s="483">
        <f t="shared" si="27"/>
        <v>105.57389978178051</v>
      </c>
      <c r="K50" s="483">
        <f t="shared" si="27"/>
        <v>109.09302977450652</v>
      </c>
      <c r="L50" s="483">
        <f t="shared" si="27"/>
        <v>109.09302977450652</v>
      </c>
      <c r="M50" s="483">
        <f t="shared" si="27"/>
        <v>98.535639796328482</v>
      </c>
      <c r="N50" s="483">
        <f t="shared" si="27"/>
        <v>109.09302977450652</v>
      </c>
      <c r="O50" s="483">
        <f t="shared" si="27"/>
        <v>1081.5510999999999</v>
      </c>
    </row>
    <row r="53" spans="2:15" x14ac:dyDescent="0.3">
      <c r="B53" s="52" t="s">
        <v>1447</v>
      </c>
      <c r="C53" s="18"/>
      <c r="D53" s="18"/>
      <c r="E53" s="18"/>
      <c r="F53" s="18"/>
      <c r="G53" s="18"/>
      <c r="H53" s="18"/>
      <c r="I53" s="69"/>
    </row>
    <row r="54" spans="2:15" x14ac:dyDescent="0.3">
      <c r="B54" s="52" t="s">
        <v>736</v>
      </c>
      <c r="C54" s="60"/>
      <c r="D54" s="60"/>
      <c r="O54" s="60" t="s">
        <v>277</v>
      </c>
    </row>
    <row r="55" spans="2:15" x14ac:dyDescent="0.3">
      <c r="B55" s="107" t="s">
        <v>278</v>
      </c>
      <c r="C55" s="947" t="s">
        <v>279</v>
      </c>
      <c r="D55" s="947" t="s">
        <v>280</v>
      </c>
      <c r="E55" s="108" t="s">
        <v>281</v>
      </c>
      <c r="F55" s="108" t="s">
        <v>282</v>
      </c>
      <c r="G55" s="108" t="s">
        <v>283</v>
      </c>
      <c r="H55" s="108" t="s">
        <v>284</v>
      </c>
      <c r="I55" s="108" t="s">
        <v>285</v>
      </c>
      <c r="J55" s="108" t="s">
        <v>286</v>
      </c>
      <c r="K55" s="108" t="s">
        <v>287</v>
      </c>
      <c r="L55" s="108" t="s">
        <v>288</v>
      </c>
      <c r="M55" s="108" t="s">
        <v>289</v>
      </c>
      <c r="N55" s="108" t="s">
        <v>290</v>
      </c>
      <c r="O55" s="108" t="s">
        <v>271</v>
      </c>
    </row>
    <row r="56" spans="2:15" x14ac:dyDescent="0.3">
      <c r="B56" s="154" t="s">
        <v>811</v>
      </c>
      <c r="C56" s="511">
        <f>'F9.2'!$G$34*C25/$O$25</f>
        <v>72.306465790797532</v>
      </c>
      <c r="D56" s="511">
        <f>'F9.2'!$G$34*D25/$O$25</f>
        <v>74.716681317157452</v>
      </c>
      <c r="E56" s="511">
        <f>'F9.2'!$G$34*E25/$O$25</f>
        <v>72.306465790797532</v>
      </c>
      <c r="F56" s="511">
        <f>'F9.2'!$G$34*F25/$O$25</f>
        <v>74.716681317157452</v>
      </c>
      <c r="G56" s="511">
        <f>'F9.2'!$G$34*G25/$O$25</f>
        <v>74.716681317157452</v>
      </c>
      <c r="H56" s="511">
        <f>'F9.2'!$G$34*H25/$O$25</f>
        <v>72.306465790797532</v>
      </c>
      <c r="I56" s="511">
        <f>'F9.2'!$G$34*I25/$O$25</f>
        <v>109.09302977450652</v>
      </c>
      <c r="J56" s="511">
        <f>'F9.2'!$G$34*J25/$O$25</f>
        <v>105.57389978178051</v>
      </c>
      <c r="K56" s="511">
        <f>'F9.2'!$G$34*K25/$O$25</f>
        <v>109.09302977450652</v>
      </c>
      <c r="L56" s="511">
        <f>'F9.2'!$G$34*L25/$O$25</f>
        <v>109.09302977450652</v>
      </c>
      <c r="M56" s="511">
        <f>'F9.2'!$G$34*M25/$O$25</f>
        <v>98.535639796328482</v>
      </c>
      <c r="N56" s="511">
        <f>'F9.2'!$G$34*N25/$O$25</f>
        <v>109.09302977450652</v>
      </c>
      <c r="O56" s="511">
        <f>SUM(C56:N56)</f>
        <v>1081.5510999999999</v>
      </c>
    </row>
    <row r="57" spans="2:15" x14ac:dyDescent="0.3">
      <c r="B57" s="109"/>
      <c r="C57" s="512"/>
      <c r="D57" s="512"/>
      <c r="E57" s="512"/>
      <c r="F57" s="512"/>
      <c r="G57" s="512"/>
      <c r="H57" s="512"/>
      <c r="I57" s="512"/>
      <c r="J57" s="512"/>
      <c r="K57" s="512"/>
      <c r="L57" s="512"/>
      <c r="M57" s="512"/>
      <c r="N57" s="512"/>
      <c r="O57" s="512">
        <f>SUM(C57:N57)</f>
        <v>0</v>
      </c>
    </row>
    <row r="58" spans="2:15" x14ac:dyDescent="0.3">
      <c r="B58" s="70" t="s">
        <v>271</v>
      </c>
      <c r="C58" s="483">
        <f>SUM(C56:C57)</f>
        <v>72.306465790797532</v>
      </c>
      <c r="D58" s="483">
        <f t="shared" ref="D58:O58" si="28">SUM(D56:D57)</f>
        <v>74.716681317157452</v>
      </c>
      <c r="E58" s="483">
        <f t="shared" si="28"/>
        <v>72.306465790797532</v>
      </c>
      <c r="F58" s="483">
        <f t="shared" si="28"/>
        <v>74.716681317157452</v>
      </c>
      <c r="G58" s="483">
        <f t="shared" si="28"/>
        <v>74.716681317157452</v>
      </c>
      <c r="H58" s="483">
        <f t="shared" si="28"/>
        <v>72.306465790797532</v>
      </c>
      <c r="I58" s="483">
        <f t="shared" si="28"/>
        <v>109.09302977450652</v>
      </c>
      <c r="J58" s="483">
        <f t="shared" si="28"/>
        <v>105.57389978178051</v>
      </c>
      <c r="K58" s="483">
        <f t="shared" si="28"/>
        <v>109.09302977450652</v>
      </c>
      <c r="L58" s="483">
        <f t="shared" si="28"/>
        <v>109.09302977450652</v>
      </c>
      <c r="M58" s="483">
        <f t="shared" si="28"/>
        <v>98.535639796328482</v>
      </c>
      <c r="N58" s="483">
        <f t="shared" si="28"/>
        <v>109.09302977450652</v>
      </c>
      <c r="O58" s="483">
        <f t="shared" si="28"/>
        <v>1081.5510999999999</v>
      </c>
    </row>
    <row r="61" spans="2:15" x14ac:dyDescent="0.3">
      <c r="B61" s="52" t="s">
        <v>1448</v>
      </c>
      <c r="C61" s="18"/>
      <c r="D61" s="18"/>
      <c r="E61" s="18"/>
      <c r="F61" s="18"/>
      <c r="G61" s="18"/>
      <c r="H61" s="18"/>
      <c r="I61" s="69"/>
    </row>
    <row r="62" spans="2:15" x14ac:dyDescent="0.3">
      <c r="B62" s="52" t="s">
        <v>736</v>
      </c>
      <c r="C62" s="60"/>
      <c r="D62" s="60"/>
      <c r="O62" s="60" t="s">
        <v>277</v>
      </c>
    </row>
    <row r="63" spans="2:15" x14ac:dyDescent="0.3">
      <c r="B63" s="107" t="s">
        <v>278</v>
      </c>
      <c r="C63" s="947" t="s">
        <v>279</v>
      </c>
      <c r="D63" s="947" t="s">
        <v>280</v>
      </c>
      <c r="E63" s="108" t="s">
        <v>281</v>
      </c>
      <c r="F63" s="108" t="s">
        <v>282</v>
      </c>
      <c r="G63" s="108" t="s">
        <v>283</v>
      </c>
      <c r="H63" s="108" t="s">
        <v>284</v>
      </c>
      <c r="I63" s="108" t="s">
        <v>285</v>
      </c>
      <c r="J63" s="108" t="s">
        <v>286</v>
      </c>
      <c r="K63" s="108" t="s">
        <v>287</v>
      </c>
      <c r="L63" s="108" t="s">
        <v>288</v>
      </c>
      <c r="M63" s="108" t="s">
        <v>289</v>
      </c>
      <c r="N63" s="108" t="s">
        <v>290</v>
      </c>
      <c r="O63" s="108" t="s">
        <v>271</v>
      </c>
    </row>
    <row r="64" spans="2:15" x14ac:dyDescent="0.3">
      <c r="B64" s="154" t="s">
        <v>811</v>
      </c>
      <c r="C64" s="511">
        <f>'F9.2'!$G$25*C25/$O$25</f>
        <v>72.306465790797532</v>
      </c>
      <c r="D64" s="511">
        <f>'F9.2'!$G$25*D25/$O$25</f>
        <v>74.716681317157452</v>
      </c>
      <c r="E64" s="511">
        <f>'F9.2'!$G$25*E25/$O$25</f>
        <v>72.306465790797532</v>
      </c>
      <c r="F64" s="511">
        <f>'F9.2'!$G$25*F25/$O$25</f>
        <v>74.716681317157452</v>
      </c>
      <c r="G64" s="511">
        <f>'F9.2'!$G$25*G25/$O$25</f>
        <v>74.716681317157452</v>
      </c>
      <c r="H64" s="511">
        <f>'F9.2'!$G$25*H25/$O$25</f>
        <v>72.306465790797532</v>
      </c>
      <c r="I64" s="511">
        <f>'F9.2'!$G$25*I25/$O$25</f>
        <v>109.09302977450652</v>
      </c>
      <c r="J64" s="511">
        <f>'F9.2'!$G$25*J25/$O$25</f>
        <v>105.57389978178051</v>
      </c>
      <c r="K64" s="511">
        <f>'F9.2'!$G$25*K25/$O$25</f>
        <v>109.09302977450652</v>
      </c>
      <c r="L64" s="511">
        <f>'F9.2'!$G$25*L25/$O$25</f>
        <v>109.09302977450652</v>
      </c>
      <c r="M64" s="511">
        <f>'F9.2'!$G$25*M25/$O$25</f>
        <v>98.535639796328482</v>
      </c>
      <c r="N64" s="511">
        <f>'F9.2'!$G$25*N25/$O$25</f>
        <v>109.09302977450652</v>
      </c>
      <c r="O64" s="511">
        <f>SUM(C64:N64)</f>
        <v>1081.5510999999999</v>
      </c>
    </row>
    <row r="65" spans="2:15" x14ac:dyDescent="0.3">
      <c r="B65" s="109"/>
      <c r="C65" s="512"/>
      <c r="D65" s="512"/>
      <c r="E65" s="512"/>
      <c r="F65" s="512"/>
      <c r="G65" s="512"/>
      <c r="H65" s="512"/>
      <c r="I65" s="512"/>
      <c r="J65" s="512"/>
      <c r="K65" s="512"/>
      <c r="L65" s="512"/>
      <c r="M65" s="512"/>
      <c r="N65" s="512"/>
      <c r="O65" s="512">
        <f>SUM(C65:N65)</f>
        <v>0</v>
      </c>
    </row>
    <row r="66" spans="2:15" x14ac:dyDescent="0.3">
      <c r="B66" s="70" t="s">
        <v>271</v>
      </c>
      <c r="C66" s="483">
        <f>SUM(C64:C65)</f>
        <v>72.306465790797532</v>
      </c>
      <c r="D66" s="483">
        <f t="shared" ref="D66:O66" si="29">SUM(D64:D65)</f>
        <v>74.716681317157452</v>
      </c>
      <c r="E66" s="483">
        <f t="shared" si="29"/>
        <v>72.306465790797532</v>
      </c>
      <c r="F66" s="483">
        <f t="shared" si="29"/>
        <v>74.716681317157452</v>
      </c>
      <c r="G66" s="483">
        <f t="shared" si="29"/>
        <v>74.716681317157452</v>
      </c>
      <c r="H66" s="483">
        <f t="shared" si="29"/>
        <v>72.306465790797532</v>
      </c>
      <c r="I66" s="483">
        <f t="shared" si="29"/>
        <v>109.09302977450652</v>
      </c>
      <c r="J66" s="483">
        <f t="shared" si="29"/>
        <v>105.57389978178051</v>
      </c>
      <c r="K66" s="483">
        <f t="shared" si="29"/>
        <v>109.09302977450652</v>
      </c>
      <c r="L66" s="483">
        <f t="shared" si="29"/>
        <v>109.09302977450652</v>
      </c>
      <c r="M66" s="483">
        <f t="shared" si="29"/>
        <v>98.535639796328482</v>
      </c>
      <c r="N66" s="483">
        <f t="shared" si="29"/>
        <v>109.09302977450652</v>
      </c>
      <c r="O66" s="483">
        <f t="shared" si="29"/>
        <v>1081.5510999999999</v>
      </c>
    </row>
  </sheetData>
  <mergeCells count="6">
    <mergeCell ref="B2:O2"/>
    <mergeCell ref="B3:O3"/>
    <mergeCell ref="B4:O4"/>
    <mergeCell ref="B23:B24"/>
    <mergeCell ref="K23:N23"/>
    <mergeCell ref="C23:J23"/>
  </mergeCells>
  <pageMargins left="1.63" right="1.33" top="1" bottom="0.37" header="0.5" footer="0.5"/>
  <pageSetup paperSize="9" scale="5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32"/>
  <sheetViews>
    <sheetView showGridLines="0" view="pageBreakPreview" topLeftCell="A19" zoomScale="75" zoomScaleNormal="75" zoomScaleSheetLayoutView="75" workbookViewId="0">
      <selection activeCell="M34" sqref="M34"/>
    </sheetView>
  </sheetViews>
  <sheetFormatPr defaultColWidth="9.36328125" defaultRowHeight="13" x14ac:dyDescent="0.25"/>
  <cols>
    <col min="1" max="1" width="9.36328125" style="71"/>
    <col min="2" max="2" width="29.453125" style="71" customWidth="1"/>
    <col min="3" max="6" width="12.36328125" style="71" customWidth="1"/>
    <col min="7" max="9" width="10.36328125" style="71" customWidth="1"/>
    <col min="10" max="14" width="11.6328125" style="71" customWidth="1"/>
    <col min="15" max="16384" width="9.36328125" style="71"/>
  </cols>
  <sheetData>
    <row r="1" spans="2:14" s="5" customFormat="1" ht="14" x14ac:dyDescent="0.3">
      <c r="B1" s="68"/>
    </row>
    <row r="2" spans="2:14" s="5" customFormat="1" ht="14" x14ac:dyDescent="0.3">
      <c r="B2" s="14" t="str">
        <f>Index!B2</f>
        <v xml:space="preserve">      Maharashtra State Power Generation Company Ltd.</v>
      </c>
      <c r="C2" s="17"/>
      <c r="D2" s="17"/>
      <c r="E2" s="17"/>
      <c r="F2" s="17"/>
      <c r="G2" s="17"/>
      <c r="H2" s="17"/>
      <c r="I2" s="17"/>
      <c r="J2" s="17"/>
      <c r="K2" s="17"/>
      <c r="L2" s="17"/>
      <c r="M2" s="17"/>
      <c r="N2" s="17"/>
    </row>
    <row r="3" spans="2:14" s="5" customFormat="1" ht="14" x14ac:dyDescent="0.3">
      <c r="B3" s="14" t="str">
        <f>Index!B3</f>
        <v>MYT Petition Formats for SHP Hydro</v>
      </c>
      <c r="C3" s="67"/>
      <c r="D3" s="67"/>
      <c r="E3" s="67"/>
      <c r="F3" s="67"/>
      <c r="G3" s="67"/>
      <c r="H3" s="67"/>
      <c r="I3" s="67"/>
      <c r="J3" s="67"/>
      <c r="K3" s="67"/>
      <c r="L3" s="67"/>
      <c r="M3" s="67"/>
      <c r="N3" s="17"/>
    </row>
    <row r="4" spans="2:14" s="5" customFormat="1" ht="14" x14ac:dyDescent="0.3">
      <c r="B4" s="16" t="s">
        <v>347</v>
      </c>
      <c r="C4" s="18"/>
      <c r="D4" s="18"/>
      <c r="E4" s="18"/>
      <c r="F4" s="18"/>
      <c r="G4" s="18"/>
      <c r="H4" s="18"/>
      <c r="I4" s="18"/>
      <c r="J4" s="18"/>
      <c r="K4" s="18"/>
      <c r="L4" s="18"/>
      <c r="M4" s="18"/>
      <c r="N4" s="18"/>
    </row>
    <row r="6" spans="2:14" x14ac:dyDescent="0.25">
      <c r="B6" s="75"/>
      <c r="C6" s="76"/>
      <c r="D6" s="76"/>
      <c r="E6" s="76"/>
      <c r="F6" s="76"/>
      <c r="G6" s="76"/>
      <c r="H6" s="76"/>
      <c r="I6" s="76"/>
      <c r="J6" s="76"/>
      <c r="K6" s="76"/>
      <c r="L6" s="76"/>
      <c r="M6" s="76"/>
      <c r="N6" s="76"/>
    </row>
    <row r="7" spans="2:14" ht="14" x14ac:dyDescent="0.3">
      <c r="B7" s="52" t="s">
        <v>519</v>
      </c>
    </row>
    <row r="8" spans="2:14" ht="14" x14ac:dyDescent="0.3">
      <c r="B8" s="52" t="s">
        <v>28</v>
      </c>
      <c r="N8" s="72" t="s">
        <v>10</v>
      </c>
    </row>
    <row r="9" spans="2:14" s="116" customFormat="1" ht="45.75" customHeight="1" x14ac:dyDescent="0.25">
      <c r="B9" s="1681" t="s">
        <v>278</v>
      </c>
      <c r="C9" s="1523" t="s">
        <v>294</v>
      </c>
      <c r="D9" s="1523"/>
      <c r="E9" s="1523"/>
      <c r="F9" s="1523"/>
      <c r="G9" s="1521" t="s">
        <v>295</v>
      </c>
      <c r="H9" s="1521"/>
      <c r="I9" s="1521"/>
      <c r="J9" s="1521" t="s">
        <v>296</v>
      </c>
      <c r="K9" s="1521"/>
      <c r="L9" s="1521"/>
      <c r="M9" s="1521"/>
      <c r="N9" s="1521"/>
    </row>
    <row r="10" spans="2:14" ht="73.25" customHeight="1" x14ac:dyDescent="0.25">
      <c r="B10" s="1683"/>
      <c r="C10" s="349" t="s">
        <v>350</v>
      </c>
      <c r="D10" s="349" t="s">
        <v>348</v>
      </c>
      <c r="E10" s="619" t="s">
        <v>775</v>
      </c>
      <c r="F10" s="349" t="s">
        <v>349</v>
      </c>
      <c r="G10" s="349" t="s">
        <v>297</v>
      </c>
      <c r="H10" s="349" t="s">
        <v>776</v>
      </c>
      <c r="I10" s="349" t="s">
        <v>298</v>
      </c>
      <c r="J10" s="620" t="s">
        <v>299</v>
      </c>
      <c r="K10" s="349" t="s">
        <v>300</v>
      </c>
      <c r="L10" s="619" t="s">
        <v>777</v>
      </c>
      <c r="M10" s="349" t="s">
        <v>778</v>
      </c>
      <c r="N10" s="350" t="s">
        <v>271</v>
      </c>
    </row>
    <row r="11" spans="2:14" s="73" customFormat="1" x14ac:dyDescent="0.25">
      <c r="B11" s="112"/>
      <c r="C11" s="407"/>
      <c r="D11" s="407"/>
      <c r="E11" s="407"/>
      <c r="F11" s="407"/>
      <c r="G11" s="407"/>
      <c r="H11" s="407"/>
      <c r="I11" s="407"/>
      <c r="J11" s="407"/>
      <c r="K11" s="407"/>
      <c r="L11" s="407"/>
      <c r="M11" s="407"/>
      <c r="N11" s="408"/>
    </row>
    <row r="12" spans="2:14" ht="14" x14ac:dyDescent="0.25">
      <c r="B12" s="154" t="s">
        <v>811</v>
      </c>
      <c r="C12" s="376">
        <f>'F9.1'!Q24</f>
        <v>119.27</v>
      </c>
      <c r="D12" s="376">
        <f>'F9.1'!Q21</f>
        <v>0</v>
      </c>
      <c r="E12" s="376">
        <f>'F9.1'!Q32</f>
        <v>0</v>
      </c>
      <c r="F12" s="376">
        <f>'F9.1'!Q23</f>
        <v>0</v>
      </c>
      <c r="G12" s="376">
        <f>'F9.1'!Q19</f>
        <v>655.95387406393615</v>
      </c>
      <c r="H12" s="376"/>
      <c r="I12" s="376"/>
      <c r="J12" s="376">
        <f>C12</f>
        <v>119.27</v>
      </c>
      <c r="K12" s="376">
        <f>'F9.1'!Q25</f>
        <v>0</v>
      </c>
      <c r="L12" s="376">
        <f>'F9.1'!Q32+'F9.1'!Q28+'F9.1'!Q29+'F9.1'!Q30</f>
        <v>233.34499999056001</v>
      </c>
      <c r="M12" s="376">
        <f>'F9.1'!Q26</f>
        <v>0</v>
      </c>
      <c r="N12" s="376">
        <f>SUM(J12:M12)</f>
        <v>352.61499999056002</v>
      </c>
    </row>
    <row r="13" spans="2:14" ht="14" x14ac:dyDescent="0.25">
      <c r="B13" s="109"/>
      <c r="C13" s="376"/>
      <c r="D13" s="376"/>
      <c r="E13" s="376"/>
      <c r="F13" s="376"/>
      <c r="G13" s="376"/>
      <c r="H13" s="376"/>
      <c r="I13" s="376"/>
      <c r="J13" s="376"/>
      <c r="K13" s="376"/>
      <c r="L13" s="376"/>
      <c r="M13" s="376"/>
      <c r="N13" s="376"/>
    </row>
    <row r="14" spans="2:14" ht="14" x14ac:dyDescent="0.25">
      <c r="B14" s="109" t="s">
        <v>271</v>
      </c>
      <c r="C14" s="406"/>
      <c r="D14" s="406"/>
      <c r="E14" s="406"/>
      <c r="F14" s="406"/>
      <c r="G14" s="406">
        <f t="shared" ref="G14" si="0">SUM(G11:G13)</f>
        <v>655.95387406393615</v>
      </c>
      <c r="H14" s="406"/>
      <c r="I14" s="406"/>
      <c r="J14" s="406">
        <f t="shared" ref="J14" si="1">SUM(J11:J13)</f>
        <v>119.27</v>
      </c>
      <c r="K14" s="406">
        <f t="shared" ref="K14" si="2">SUM(K11:K13)</f>
        <v>0</v>
      </c>
      <c r="L14" s="406">
        <f t="shared" ref="L14" si="3">SUM(L11:L13)</f>
        <v>233.34499999056001</v>
      </c>
      <c r="M14" s="406">
        <f t="shared" ref="M14" si="4">SUM(M11:M13)</f>
        <v>0</v>
      </c>
      <c r="N14" s="406">
        <f t="shared" ref="N14" si="5">SUM(N11:N13)</f>
        <v>352.61499999056002</v>
      </c>
    </row>
    <row r="15" spans="2:14" x14ac:dyDescent="0.25">
      <c r="B15" s="75"/>
      <c r="C15" s="76"/>
      <c r="D15" s="76"/>
      <c r="E15" s="76"/>
      <c r="F15" s="76"/>
      <c r="G15" s="76"/>
      <c r="H15" s="76"/>
      <c r="I15" s="76"/>
      <c r="J15" s="76"/>
      <c r="K15" s="76"/>
      <c r="L15" s="76"/>
      <c r="M15" s="76"/>
      <c r="N15" s="76"/>
    </row>
    <row r="16" spans="2:14" ht="14" x14ac:dyDescent="0.3">
      <c r="B16" s="52" t="s">
        <v>520</v>
      </c>
    </row>
    <row r="17" spans="2:14" ht="14" x14ac:dyDescent="0.3">
      <c r="B17" s="52" t="s">
        <v>28</v>
      </c>
      <c r="N17" s="72" t="s">
        <v>10</v>
      </c>
    </row>
    <row r="18" spans="2:14" s="116" customFormat="1" ht="45.75" customHeight="1" x14ac:dyDescent="0.25">
      <c r="B18" s="1681" t="s">
        <v>278</v>
      </c>
      <c r="C18" s="1523" t="s">
        <v>294</v>
      </c>
      <c r="D18" s="1523"/>
      <c r="E18" s="1523"/>
      <c r="F18" s="1523"/>
      <c r="G18" s="1521" t="s">
        <v>295</v>
      </c>
      <c r="H18" s="1521"/>
      <c r="I18" s="1521"/>
      <c r="J18" s="1682" t="s">
        <v>296</v>
      </c>
      <c r="K18" s="1682"/>
      <c r="L18" s="1682"/>
      <c r="M18" s="1682"/>
      <c r="N18" s="1682"/>
    </row>
    <row r="19" spans="2:14" ht="73.25" customHeight="1" x14ac:dyDescent="0.25">
      <c r="B19" s="1683"/>
      <c r="C19" s="349" t="s">
        <v>350</v>
      </c>
      <c r="D19" s="349" t="s">
        <v>348</v>
      </c>
      <c r="E19" s="619" t="s">
        <v>775</v>
      </c>
      <c r="F19" s="349" t="s">
        <v>349</v>
      </c>
      <c r="G19" s="349" t="s">
        <v>297</v>
      </c>
      <c r="H19" s="349" t="s">
        <v>776</v>
      </c>
      <c r="I19" s="349" t="s">
        <v>298</v>
      </c>
      <c r="J19" s="620" t="s">
        <v>299</v>
      </c>
      <c r="K19" s="349" t="s">
        <v>300</v>
      </c>
      <c r="L19" s="619" t="s">
        <v>777</v>
      </c>
      <c r="M19" s="349" t="s">
        <v>778</v>
      </c>
      <c r="N19" s="350" t="s">
        <v>271</v>
      </c>
    </row>
    <row r="20" spans="2:14" s="73" customFormat="1" x14ac:dyDescent="0.25">
      <c r="B20" s="112"/>
      <c r="C20" s="113"/>
      <c r="D20" s="113"/>
      <c r="E20" s="113"/>
      <c r="F20" s="113"/>
      <c r="G20" s="113"/>
      <c r="H20" s="113"/>
      <c r="I20" s="113"/>
      <c r="J20" s="113"/>
      <c r="K20" s="113"/>
      <c r="L20" s="113"/>
      <c r="M20" s="113"/>
      <c r="N20" s="114"/>
    </row>
    <row r="21" spans="2:14" ht="14" x14ac:dyDescent="0.25">
      <c r="B21" s="154" t="s">
        <v>811</v>
      </c>
      <c r="C21" s="376">
        <f>'F9.1'!Q53</f>
        <v>136.39957068637864</v>
      </c>
      <c r="D21" s="376">
        <f>'F9.1'!Q50</f>
        <v>0</v>
      </c>
      <c r="E21" s="613">
        <f>'F9.1'!Q64</f>
        <v>0</v>
      </c>
      <c r="F21" s="376">
        <f>'F9.1'!Q52</f>
        <v>0</v>
      </c>
      <c r="G21" s="376">
        <f>'F9.1'!Q48</f>
        <v>583.40108184983887</v>
      </c>
      <c r="H21" s="115"/>
      <c r="I21" s="115"/>
      <c r="J21" s="379">
        <f>C21</f>
        <v>136.39957068637864</v>
      </c>
      <c r="K21" s="377">
        <f>'F9.1'!Q54</f>
        <v>0</v>
      </c>
      <c r="L21" s="377">
        <f>'F9.1'!Q59+'F9.1'!Q57+'F9.1'!Q58+'F9.1'!Q64</f>
        <v>230.11180000000002</v>
      </c>
      <c r="M21" s="376">
        <f>'F9.1'!Q55</f>
        <v>0</v>
      </c>
      <c r="N21" s="376">
        <f>SUM(J21:M21)</f>
        <v>366.51137068637865</v>
      </c>
    </row>
    <row r="22" spans="2:14" x14ac:dyDescent="0.25">
      <c r="B22" s="74"/>
      <c r="C22" s="74"/>
      <c r="D22" s="74"/>
      <c r="E22" s="74"/>
      <c r="F22" s="74"/>
      <c r="G22" s="74"/>
      <c r="H22" s="74"/>
      <c r="I22" s="74"/>
      <c r="J22" s="74"/>
      <c r="K22" s="74"/>
      <c r="L22" s="74"/>
      <c r="M22" s="74"/>
      <c r="N22" s="74"/>
    </row>
    <row r="23" spans="2:14" ht="14" x14ac:dyDescent="0.25">
      <c r="B23" s="109" t="s">
        <v>271</v>
      </c>
      <c r="C23" s="406"/>
      <c r="D23" s="406"/>
      <c r="E23" s="406"/>
      <c r="F23" s="406"/>
      <c r="G23" s="406">
        <f t="shared" ref="G23" si="6">SUM(G20:G22)</f>
        <v>583.40108184983887</v>
      </c>
      <c r="H23" s="406"/>
      <c r="I23" s="406"/>
      <c r="J23" s="406">
        <f t="shared" ref="J23" si="7">SUM(J20:J22)</f>
        <v>136.39957068637864</v>
      </c>
      <c r="K23" s="406">
        <f t="shared" ref="K23" si="8">SUM(K20:K22)</f>
        <v>0</v>
      </c>
      <c r="L23" s="406">
        <f t="shared" ref="L23" si="9">SUM(L20:L22)</f>
        <v>230.11180000000002</v>
      </c>
      <c r="M23" s="406">
        <f t="shared" ref="M23" si="10">SUM(M20:M22)</f>
        <v>0</v>
      </c>
      <c r="N23" s="406">
        <f t="shared" ref="N23" si="11">SUM(N20:N22)</f>
        <v>366.51137068637865</v>
      </c>
    </row>
    <row r="25" spans="2:14" ht="14" x14ac:dyDescent="0.3">
      <c r="B25" s="52" t="s">
        <v>966</v>
      </c>
    </row>
    <row r="26" spans="2:14" ht="14" x14ac:dyDescent="0.3">
      <c r="B26" s="52" t="s">
        <v>12</v>
      </c>
      <c r="N26" s="72" t="s">
        <v>10</v>
      </c>
    </row>
    <row r="27" spans="2:14" ht="30.75" customHeight="1" x14ac:dyDescent="0.25">
      <c r="B27" s="1681" t="s">
        <v>278</v>
      </c>
      <c r="C27" s="1523" t="s">
        <v>294</v>
      </c>
      <c r="D27" s="1523"/>
      <c r="E27" s="1523"/>
      <c r="F27" s="1523"/>
      <c r="G27" s="1521" t="s">
        <v>295</v>
      </c>
      <c r="H27" s="1521"/>
      <c r="I27" s="1521"/>
      <c r="J27" s="1682" t="s">
        <v>296</v>
      </c>
      <c r="K27" s="1682"/>
      <c r="L27" s="1682"/>
      <c r="M27" s="1682"/>
      <c r="N27" s="1682"/>
    </row>
    <row r="28" spans="2:14" ht="70.25" customHeight="1" x14ac:dyDescent="0.25">
      <c r="B28" s="1681"/>
      <c r="C28" s="349" t="s">
        <v>350</v>
      </c>
      <c r="D28" s="349" t="s">
        <v>348</v>
      </c>
      <c r="E28" s="619" t="s">
        <v>775</v>
      </c>
      <c r="F28" s="349" t="s">
        <v>349</v>
      </c>
      <c r="G28" s="349" t="s">
        <v>297</v>
      </c>
      <c r="H28" s="349" t="s">
        <v>776</v>
      </c>
      <c r="I28" s="349" t="s">
        <v>298</v>
      </c>
      <c r="J28" s="349" t="s">
        <v>299</v>
      </c>
      <c r="K28" s="349" t="s">
        <v>300</v>
      </c>
      <c r="L28" s="619" t="s">
        <v>777</v>
      </c>
      <c r="M28" s="349" t="s">
        <v>778</v>
      </c>
      <c r="N28" s="350" t="s">
        <v>271</v>
      </c>
    </row>
    <row r="29" spans="2:14" x14ac:dyDescent="0.25">
      <c r="B29" s="112"/>
      <c r="C29" s="113"/>
      <c r="D29" s="113"/>
      <c r="E29" s="113"/>
      <c r="F29" s="113"/>
      <c r="G29" s="113"/>
      <c r="H29" s="113"/>
      <c r="I29" s="113"/>
      <c r="J29" s="113"/>
      <c r="K29" s="113"/>
      <c r="L29" s="113"/>
      <c r="M29" s="113"/>
      <c r="N29" s="114"/>
    </row>
    <row r="30" spans="2:14" ht="14" x14ac:dyDescent="0.25">
      <c r="B30" s="154" t="s">
        <v>1444</v>
      </c>
      <c r="C30" s="941">
        <v>71.130812500000005</v>
      </c>
      <c r="D30" s="941">
        <f>K30/G30*10</f>
        <v>0</v>
      </c>
      <c r="E30" s="115"/>
      <c r="F30" s="378">
        <f>M30/G30*10</f>
        <v>0</v>
      </c>
      <c r="G30" s="942">
        <f>SUM('F8'!C27:H27)</f>
        <v>307.40668020000004</v>
      </c>
      <c r="H30" s="115"/>
      <c r="I30" s="115"/>
      <c r="J30" s="943">
        <f>C30</f>
        <v>71.130812500000005</v>
      </c>
      <c r="K30" s="943">
        <v>0</v>
      </c>
      <c r="L30" s="377">
        <v>114.10600000235998</v>
      </c>
      <c r="M30" s="377">
        <v>0</v>
      </c>
      <c r="N30" s="943">
        <f>SUM(J30:M30)</f>
        <v>185.23681250235998</v>
      </c>
    </row>
    <row r="31" spans="2:14" ht="14" x14ac:dyDescent="0.25">
      <c r="B31" s="154" t="s">
        <v>1445</v>
      </c>
      <c r="C31" s="941">
        <v>71.136975486343815</v>
      </c>
      <c r="D31" s="941">
        <v>0</v>
      </c>
      <c r="E31" s="115"/>
      <c r="F31" s="115"/>
      <c r="G31" s="941">
        <f>SUM('F8'!I27:N27)</f>
        <v>446.38853200000011</v>
      </c>
      <c r="H31" s="115"/>
      <c r="I31" s="115"/>
      <c r="J31" s="943">
        <f>C31</f>
        <v>71.136975486343815</v>
      </c>
      <c r="K31" s="941">
        <f>D31*G31/10</f>
        <v>0</v>
      </c>
      <c r="L31" s="377">
        <v>114.10600000235998</v>
      </c>
      <c r="M31" s="115"/>
      <c r="N31" s="943">
        <f>SUM(J31:M31)</f>
        <v>185.24297548870379</v>
      </c>
    </row>
    <row r="32" spans="2:14" ht="14" x14ac:dyDescent="0.25">
      <c r="B32" s="154" t="s">
        <v>271</v>
      </c>
      <c r="C32" s="944">
        <f>SUM(C30:C31)</f>
        <v>142.26778798634382</v>
      </c>
      <c r="D32" s="944"/>
      <c r="E32" s="944"/>
      <c r="F32" s="944"/>
      <c r="G32" s="944">
        <f>SUM(G29:G31)</f>
        <v>753.79521220000015</v>
      </c>
      <c r="H32" s="944"/>
      <c r="I32" s="944"/>
      <c r="J32" s="944">
        <f t="shared" ref="J32:N32" si="12">SUM(J30:J31)</f>
        <v>142.26778798634382</v>
      </c>
      <c r="K32" s="944">
        <f t="shared" si="12"/>
        <v>0</v>
      </c>
      <c r="L32" s="944">
        <f t="shared" si="12"/>
        <v>228.21200000471995</v>
      </c>
      <c r="M32" s="944">
        <f t="shared" si="12"/>
        <v>0</v>
      </c>
      <c r="N32" s="944">
        <f t="shared" si="12"/>
        <v>370.47978799106374</v>
      </c>
    </row>
  </sheetData>
  <mergeCells count="12">
    <mergeCell ref="B27:B28"/>
    <mergeCell ref="C27:F27"/>
    <mergeCell ref="G27:I27"/>
    <mergeCell ref="J27:N27"/>
    <mergeCell ref="B9:B10"/>
    <mergeCell ref="C9:F9"/>
    <mergeCell ref="G9:I9"/>
    <mergeCell ref="J9:N9"/>
    <mergeCell ref="B18:B19"/>
    <mergeCell ref="C18:F18"/>
    <mergeCell ref="G18:I18"/>
    <mergeCell ref="J18:N18"/>
  </mergeCells>
  <pageMargins left="2.2000000000000002" right="0.93" top="0.77" bottom="1" header="0.5" footer="0.5"/>
  <pageSetup paperSize="9" scale="6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S71"/>
  <sheetViews>
    <sheetView showGridLines="0" view="pageBreakPreview" zoomScale="60" zoomScaleNormal="80" workbookViewId="0">
      <pane xSplit="4" ySplit="4" topLeftCell="E22" activePane="bottomRight" state="frozen"/>
      <selection pane="topRight" activeCell="E1" sqref="E1"/>
      <selection pane="bottomLeft" activeCell="A5" sqref="A5"/>
      <selection pane="bottomRight" activeCell="E48" sqref="E48:P48"/>
    </sheetView>
  </sheetViews>
  <sheetFormatPr defaultColWidth="9.36328125" defaultRowHeight="13" x14ac:dyDescent="0.25"/>
  <cols>
    <col min="1" max="1" width="9.36328125" style="73"/>
    <col min="2" max="2" width="5" style="73" customWidth="1"/>
    <col min="3" max="3" width="38.36328125" style="73" customWidth="1"/>
    <col min="4" max="4" width="16.36328125" style="73" customWidth="1"/>
    <col min="5" max="17" width="15.453125" style="73" customWidth="1"/>
    <col min="18" max="16384" width="9.36328125" style="73"/>
  </cols>
  <sheetData>
    <row r="1" spans="2:17" s="222" customFormat="1" x14ac:dyDescent="0.3">
      <c r="B1" s="221"/>
    </row>
    <row r="2" spans="2:17" s="222" customFormat="1" ht="14" x14ac:dyDescent="0.3">
      <c r="C2" s="237"/>
      <c r="D2" s="223"/>
      <c r="E2" s="223"/>
      <c r="F2" s="14" t="str">
        <f>Index!B2</f>
        <v xml:space="preserve">      Maharashtra State Power Generation Company Ltd.</v>
      </c>
      <c r="G2" s="223"/>
      <c r="H2" s="223"/>
      <c r="I2" s="223"/>
      <c r="J2" s="223"/>
      <c r="K2" s="223"/>
      <c r="L2" s="223"/>
      <c r="M2" s="223"/>
    </row>
    <row r="3" spans="2:17" s="222" customFormat="1" ht="14" x14ac:dyDescent="0.3">
      <c r="C3" s="238"/>
      <c r="D3" s="224"/>
      <c r="E3" s="224"/>
      <c r="F3" s="14" t="str">
        <f>Index!B3</f>
        <v>MYT Petition Formats for SHP Hydro</v>
      </c>
      <c r="G3" s="224"/>
      <c r="H3" s="224"/>
      <c r="I3" s="224"/>
      <c r="J3" s="224"/>
      <c r="K3" s="224"/>
      <c r="L3" s="224"/>
      <c r="M3" s="223"/>
    </row>
    <row r="4" spans="2:17" s="222" customFormat="1" ht="14" x14ac:dyDescent="0.3">
      <c r="C4" s="239"/>
      <c r="D4" s="225"/>
      <c r="E4" s="225"/>
      <c r="F4" s="16" t="s">
        <v>443</v>
      </c>
      <c r="G4" s="225"/>
      <c r="H4" s="225"/>
      <c r="I4" s="225"/>
      <c r="J4" s="225"/>
      <c r="K4" s="225"/>
      <c r="L4" s="225"/>
      <c r="M4" s="225"/>
    </row>
    <row r="7" spans="2:17" x14ac:dyDescent="0.25">
      <c r="B7" s="240" t="s">
        <v>970</v>
      </c>
    </row>
    <row r="8" spans="2:17" x14ac:dyDescent="0.25">
      <c r="B8" s="240" t="s">
        <v>490</v>
      </c>
    </row>
    <row r="9" spans="2:17" ht="26" x14ac:dyDescent="0.25">
      <c r="B9" s="226" t="s">
        <v>430</v>
      </c>
      <c r="C9" s="226" t="s">
        <v>37</v>
      </c>
      <c r="D9" s="226" t="s">
        <v>93</v>
      </c>
      <c r="E9" s="249" t="s">
        <v>279</v>
      </c>
      <c r="F9" s="249" t="s">
        <v>280</v>
      </c>
      <c r="G9" s="108" t="s">
        <v>281</v>
      </c>
      <c r="H9" s="108" t="s">
        <v>282</v>
      </c>
      <c r="I9" s="108" t="s">
        <v>283</v>
      </c>
      <c r="J9" s="108" t="s">
        <v>284</v>
      </c>
      <c r="K9" s="108" t="s">
        <v>285</v>
      </c>
      <c r="L9" s="108" t="s">
        <v>286</v>
      </c>
      <c r="M9" s="108" t="s">
        <v>287</v>
      </c>
      <c r="N9" s="108" t="s">
        <v>288</v>
      </c>
      <c r="O9" s="108" t="s">
        <v>289</v>
      </c>
      <c r="P9" s="108" t="s">
        <v>290</v>
      </c>
      <c r="Q9" s="227" t="s">
        <v>271</v>
      </c>
    </row>
    <row r="10" spans="2:17" x14ac:dyDescent="0.25">
      <c r="B10" s="228">
        <v>1</v>
      </c>
      <c r="C10" s="229" t="s">
        <v>368</v>
      </c>
      <c r="D10" s="228" t="s">
        <v>98</v>
      </c>
      <c r="E10" s="474"/>
      <c r="F10" s="474"/>
      <c r="G10" s="474"/>
      <c r="H10" s="474"/>
      <c r="I10" s="474"/>
      <c r="J10" s="474"/>
      <c r="K10" s="474"/>
      <c r="L10" s="474"/>
      <c r="M10" s="474"/>
      <c r="N10" s="474"/>
      <c r="O10" s="474"/>
      <c r="P10" s="474"/>
      <c r="Q10" s="474"/>
    </row>
    <row r="11" spans="2:17" x14ac:dyDescent="0.25">
      <c r="B11" s="228">
        <f>B10+1</f>
        <v>2</v>
      </c>
      <c r="C11" s="229" t="s">
        <v>431</v>
      </c>
      <c r="D11" s="228" t="s">
        <v>98</v>
      </c>
      <c r="E11" s="230"/>
      <c r="F11" s="230"/>
      <c r="G11" s="230"/>
      <c r="H11" s="230"/>
      <c r="I11" s="230"/>
      <c r="J11" s="230"/>
      <c r="K11" s="230"/>
      <c r="L11" s="230"/>
      <c r="M11" s="230"/>
      <c r="N11" s="230"/>
      <c r="O11" s="230"/>
      <c r="P11" s="230"/>
      <c r="Q11" s="231"/>
    </row>
    <row r="12" spans="2:17" x14ac:dyDescent="0.25">
      <c r="B12" s="228">
        <f>B11+1</f>
        <v>3</v>
      </c>
      <c r="C12" s="229" t="s">
        <v>432</v>
      </c>
      <c r="D12" s="228" t="s">
        <v>98</v>
      </c>
      <c r="E12" s="475"/>
      <c r="F12" s="475"/>
      <c r="G12" s="475"/>
      <c r="H12" s="475"/>
      <c r="I12" s="475"/>
      <c r="J12" s="475"/>
      <c r="K12" s="475"/>
      <c r="L12" s="475"/>
      <c r="M12" s="475"/>
      <c r="N12" s="475"/>
      <c r="O12" s="475"/>
      <c r="P12" s="475"/>
      <c r="Q12" s="475"/>
    </row>
    <row r="13" spans="2:17" x14ac:dyDescent="0.25">
      <c r="B13" s="228">
        <f t="shared" ref="B13:B32" si="0">B12+1</f>
        <v>4</v>
      </c>
      <c r="C13" s="229" t="s">
        <v>99</v>
      </c>
      <c r="D13" s="228" t="s">
        <v>98</v>
      </c>
      <c r="E13" s="230"/>
      <c r="F13" s="230"/>
      <c r="G13" s="230"/>
      <c r="H13" s="230"/>
      <c r="I13" s="230"/>
      <c r="J13" s="230"/>
      <c r="K13" s="230"/>
      <c r="L13" s="230"/>
      <c r="M13" s="230"/>
      <c r="N13" s="230"/>
      <c r="O13" s="230"/>
      <c r="P13" s="230"/>
      <c r="Q13" s="230"/>
    </row>
    <row r="14" spans="2:17" x14ac:dyDescent="0.25">
      <c r="B14" s="228">
        <f t="shared" si="0"/>
        <v>5</v>
      </c>
      <c r="C14" s="229" t="s">
        <v>433</v>
      </c>
      <c r="D14" s="228" t="s">
        <v>98</v>
      </c>
      <c r="E14" s="474"/>
      <c r="F14" s="474"/>
      <c r="G14" s="474"/>
      <c r="H14" s="474"/>
      <c r="I14" s="474"/>
      <c r="J14" s="474"/>
      <c r="K14" s="474"/>
      <c r="L14" s="474"/>
      <c r="M14" s="474"/>
      <c r="N14" s="474"/>
      <c r="O14" s="474"/>
      <c r="P14" s="474"/>
      <c r="Q14" s="474"/>
    </row>
    <row r="15" spans="2:17" x14ac:dyDescent="0.25">
      <c r="B15" s="228">
        <v>6</v>
      </c>
      <c r="C15" s="229" t="s">
        <v>769</v>
      </c>
      <c r="D15" s="228" t="s">
        <v>98</v>
      </c>
      <c r="E15" s="230"/>
      <c r="F15" s="230"/>
      <c r="G15" s="230"/>
      <c r="H15" s="230"/>
      <c r="I15" s="230"/>
      <c r="J15" s="230"/>
      <c r="K15" s="230"/>
      <c r="L15" s="230"/>
      <c r="M15" s="230"/>
      <c r="N15" s="230"/>
      <c r="O15" s="230"/>
      <c r="P15" s="230"/>
      <c r="Q15" s="230"/>
    </row>
    <row r="16" spans="2:17" x14ac:dyDescent="0.25">
      <c r="B16" s="228">
        <v>7</v>
      </c>
      <c r="C16" s="229" t="s">
        <v>434</v>
      </c>
      <c r="D16" s="228" t="s">
        <v>98</v>
      </c>
      <c r="E16" s="475"/>
      <c r="F16" s="475"/>
      <c r="G16" s="475"/>
      <c r="H16" s="475"/>
      <c r="I16" s="475"/>
      <c r="J16" s="475"/>
      <c r="K16" s="475"/>
      <c r="L16" s="475"/>
      <c r="M16" s="475"/>
      <c r="N16" s="475"/>
      <c r="O16" s="475"/>
      <c r="P16" s="475"/>
      <c r="Q16" s="475"/>
    </row>
    <row r="17" spans="2:17" x14ac:dyDescent="0.25">
      <c r="B17" s="228">
        <f t="shared" si="0"/>
        <v>8</v>
      </c>
      <c r="C17" s="232" t="s">
        <v>435</v>
      </c>
      <c r="D17" s="235" t="s">
        <v>100</v>
      </c>
      <c r="E17" s="476">
        <v>81.684589000000003</v>
      </c>
      <c r="F17" s="476">
        <v>60.003050999999999</v>
      </c>
      <c r="G17" s="476">
        <v>20.534893999999994</v>
      </c>
      <c r="H17" s="476">
        <v>36.802799999999998</v>
      </c>
      <c r="I17" s="476">
        <v>64.880966000000029</v>
      </c>
      <c r="J17" s="476">
        <v>67.098264</v>
      </c>
      <c r="K17" s="476">
        <v>42.688046063936007</v>
      </c>
      <c r="L17" s="476">
        <v>26.694552999999992</v>
      </c>
      <c r="M17" s="476">
        <v>35.36516000000001</v>
      </c>
      <c r="N17" s="476">
        <v>79.796666000000002</v>
      </c>
      <c r="O17" s="476">
        <v>60.601377999999983</v>
      </c>
      <c r="P17" s="476">
        <v>85.898488000000015</v>
      </c>
      <c r="Q17" s="476">
        <f>SUM(E17:P17)</f>
        <v>662.04885506393589</v>
      </c>
    </row>
    <row r="18" spans="2:17" x14ac:dyDescent="0.25">
      <c r="B18" s="228">
        <f t="shared" si="0"/>
        <v>9</v>
      </c>
      <c r="C18" s="232" t="s">
        <v>436</v>
      </c>
      <c r="D18" s="235" t="s">
        <v>100</v>
      </c>
      <c r="E18" s="476">
        <v>0.55159564000000105</v>
      </c>
      <c r="F18" s="476">
        <v>0.58576678000000193</v>
      </c>
      <c r="G18" s="476">
        <v>0.4430044200000004</v>
      </c>
      <c r="H18" s="476">
        <v>0.54645686000000238</v>
      </c>
      <c r="I18" s="476">
        <v>0.56973703999999736</v>
      </c>
      <c r="J18" s="476">
        <v>0.59184051999999943</v>
      </c>
      <c r="K18" s="476">
        <v>0.47996295999999883</v>
      </c>
      <c r="L18" s="476">
        <v>0.43430124000000075</v>
      </c>
      <c r="M18" s="476">
        <v>0.48908892000000159</v>
      </c>
      <c r="N18" s="476">
        <v>0.51632675999999744</v>
      </c>
      <c r="O18" s="476">
        <v>0.40234802000000158</v>
      </c>
      <c r="P18" s="476">
        <v>0.48455183999999912</v>
      </c>
      <c r="Q18" s="476">
        <f>SUM(E18:P18)</f>
        <v>6.0949810000000015</v>
      </c>
    </row>
    <row r="19" spans="2:17" x14ac:dyDescent="0.25">
      <c r="B19" s="228">
        <f t="shared" si="0"/>
        <v>10</v>
      </c>
      <c r="C19" s="232" t="s">
        <v>484</v>
      </c>
      <c r="D19" s="235" t="s">
        <v>100</v>
      </c>
      <c r="E19" s="476">
        <f>E17-E18</f>
        <v>81.13299336</v>
      </c>
      <c r="F19" s="476">
        <f t="shared" ref="F19:P19" si="1">F17-F18</f>
        <v>59.417284219999999</v>
      </c>
      <c r="G19" s="476">
        <f t="shared" si="1"/>
        <v>20.091889579999993</v>
      </c>
      <c r="H19" s="476">
        <f t="shared" si="1"/>
        <v>36.256343139999998</v>
      </c>
      <c r="I19" s="476">
        <f t="shared" si="1"/>
        <v>64.311228960000037</v>
      </c>
      <c r="J19" s="476">
        <f t="shared" si="1"/>
        <v>66.506423479999995</v>
      </c>
      <c r="K19" s="476">
        <f t="shared" si="1"/>
        <v>42.208083103936005</v>
      </c>
      <c r="L19" s="476">
        <f t="shared" si="1"/>
        <v>26.260251759999992</v>
      </c>
      <c r="M19" s="476">
        <f t="shared" si="1"/>
        <v>34.87607108000001</v>
      </c>
      <c r="N19" s="476">
        <f t="shared" si="1"/>
        <v>79.280339240000004</v>
      </c>
      <c r="O19" s="476">
        <f t="shared" si="1"/>
        <v>60.199029979999978</v>
      </c>
      <c r="P19" s="476">
        <f t="shared" si="1"/>
        <v>85.41393616000002</v>
      </c>
      <c r="Q19" s="476">
        <f>SUM(E19:P19)</f>
        <v>655.95387406393615</v>
      </c>
    </row>
    <row r="20" spans="2:17" x14ac:dyDescent="0.25">
      <c r="B20" s="228">
        <f t="shared" si="0"/>
        <v>11</v>
      </c>
      <c r="C20" s="259" t="s">
        <v>491</v>
      </c>
      <c r="D20" s="235" t="s">
        <v>100</v>
      </c>
      <c r="E20" s="585"/>
      <c r="F20" s="585"/>
      <c r="G20" s="585"/>
      <c r="H20" s="585"/>
      <c r="I20" s="585"/>
      <c r="J20" s="585"/>
      <c r="K20" s="585"/>
      <c r="L20" s="585"/>
      <c r="M20" s="585"/>
      <c r="N20" s="585"/>
      <c r="O20" s="585"/>
      <c r="P20" s="585"/>
      <c r="Q20" s="379">
        <f>SUM(E20:P20)</f>
        <v>0</v>
      </c>
    </row>
    <row r="21" spans="2:17" x14ac:dyDescent="0.25">
      <c r="B21" s="228">
        <f t="shared" si="0"/>
        <v>12</v>
      </c>
      <c r="C21" s="232" t="s">
        <v>437</v>
      </c>
      <c r="D21" s="235" t="s">
        <v>446</v>
      </c>
      <c r="E21" s="476">
        <f t="shared" ref="E21:P21" si="2">E25/E19*10</f>
        <v>0</v>
      </c>
      <c r="F21" s="476">
        <f t="shared" si="2"/>
        <v>0</v>
      </c>
      <c r="G21" s="476">
        <f t="shared" si="2"/>
        <v>0</v>
      </c>
      <c r="H21" s="476">
        <f t="shared" si="2"/>
        <v>0</v>
      </c>
      <c r="I21" s="476">
        <f t="shared" si="2"/>
        <v>0</v>
      </c>
      <c r="J21" s="476">
        <f t="shared" si="2"/>
        <v>0</v>
      </c>
      <c r="K21" s="585">
        <f>K25/K19*10</f>
        <v>0</v>
      </c>
      <c r="L21" s="476">
        <f t="shared" si="2"/>
        <v>0</v>
      </c>
      <c r="M21" s="476">
        <f t="shared" si="2"/>
        <v>0</v>
      </c>
      <c r="N21" s="476">
        <f t="shared" si="2"/>
        <v>0</v>
      </c>
      <c r="O21" s="476">
        <f t="shared" si="2"/>
        <v>0</v>
      </c>
      <c r="P21" s="476">
        <f t="shared" si="2"/>
        <v>0</v>
      </c>
      <c r="Q21" s="476">
        <f>Q25/Q19*10</f>
        <v>0</v>
      </c>
    </row>
    <row r="22" spans="2:17" x14ac:dyDescent="0.25">
      <c r="B22" s="228">
        <f t="shared" si="0"/>
        <v>13</v>
      </c>
      <c r="C22" s="259" t="s">
        <v>492</v>
      </c>
      <c r="D22" s="235" t="s">
        <v>447</v>
      </c>
      <c r="E22" s="376">
        <v>9.9391666999999995</v>
      </c>
      <c r="F22" s="376">
        <v>9.9391666999999995</v>
      </c>
      <c r="G22" s="376">
        <v>9.9391666999999995</v>
      </c>
      <c r="H22" s="376">
        <v>9.9391666999999995</v>
      </c>
      <c r="I22" s="376">
        <v>9.9391666999999995</v>
      </c>
      <c r="J22" s="376">
        <v>9.9391666999999995</v>
      </c>
      <c r="K22" s="376">
        <v>9.9391666999999995</v>
      </c>
      <c r="L22" s="376">
        <v>9.9391666999999995</v>
      </c>
      <c r="M22" s="376">
        <v>9.9391666999999995</v>
      </c>
      <c r="N22" s="376">
        <v>9.9391666999999995</v>
      </c>
      <c r="O22" s="376">
        <v>9.9391666999999995</v>
      </c>
      <c r="P22" s="376">
        <v>9.9391666999999995</v>
      </c>
      <c r="Q22" s="476">
        <f>SUM(E22:P22)</f>
        <v>119.2700004</v>
      </c>
    </row>
    <row r="23" spans="2:17" x14ac:dyDescent="0.25">
      <c r="B23" s="228">
        <f t="shared" si="0"/>
        <v>14</v>
      </c>
      <c r="C23" s="259" t="s">
        <v>493</v>
      </c>
      <c r="D23" s="235" t="s">
        <v>446</v>
      </c>
      <c r="E23" s="376">
        <f t="shared" ref="E23:Q23" si="3">E26*10/E19</f>
        <v>0</v>
      </c>
      <c r="F23" s="376">
        <f t="shared" si="3"/>
        <v>0</v>
      </c>
      <c r="G23" s="376">
        <f t="shared" si="3"/>
        <v>0</v>
      </c>
      <c r="H23" s="376">
        <f t="shared" si="3"/>
        <v>0</v>
      </c>
      <c r="I23" s="376">
        <f t="shared" si="3"/>
        <v>0</v>
      </c>
      <c r="J23" s="376">
        <f t="shared" si="3"/>
        <v>0</v>
      </c>
      <c r="K23" s="376">
        <f t="shared" si="3"/>
        <v>0</v>
      </c>
      <c r="L23" s="376">
        <f t="shared" si="3"/>
        <v>0</v>
      </c>
      <c r="M23" s="376">
        <f t="shared" si="3"/>
        <v>0</v>
      </c>
      <c r="N23" s="376">
        <f t="shared" si="3"/>
        <v>0</v>
      </c>
      <c r="O23" s="376">
        <f t="shared" si="3"/>
        <v>0</v>
      </c>
      <c r="P23" s="376">
        <f t="shared" si="3"/>
        <v>0</v>
      </c>
      <c r="Q23" s="376">
        <f t="shared" si="3"/>
        <v>0</v>
      </c>
    </row>
    <row r="24" spans="2:17" x14ac:dyDescent="0.25">
      <c r="B24" s="228">
        <f t="shared" si="0"/>
        <v>15</v>
      </c>
      <c r="C24" s="232" t="s">
        <v>438</v>
      </c>
      <c r="D24" s="235" t="s">
        <v>447</v>
      </c>
      <c r="E24" s="582">
        <v>9.9391666666666669</v>
      </c>
      <c r="F24" s="582">
        <v>9.9391666666666669</v>
      </c>
      <c r="G24" s="582">
        <v>9.9391666666666669</v>
      </c>
      <c r="H24" s="582">
        <v>9.9391666666666669</v>
      </c>
      <c r="I24" s="582">
        <v>9.9391666666666669</v>
      </c>
      <c r="J24" s="582">
        <v>9.9391666666666669</v>
      </c>
      <c r="K24" s="582">
        <v>9.9391666666666669</v>
      </c>
      <c r="L24" s="582">
        <v>9.9391666666666669</v>
      </c>
      <c r="M24" s="582">
        <v>9.9391666666666669</v>
      </c>
      <c r="N24" s="582">
        <v>9.9391666666666669</v>
      </c>
      <c r="O24" s="582">
        <v>9.9391666666666669</v>
      </c>
      <c r="P24" s="582">
        <v>9.9391666666666669</v>
      </c>
      <c r="Q24" s="476">
        <f>SUM(E24:P24)</f>
        <v>119.27</v>
      </c>
    </row>
    <row r="25" spans="2:17" x14ac:dyDescent="0.25">
      <c r="B25" s="228">
        <f t="shared" si="0"/>
        <v>16</v>
      </c>
      <c r="C25" s="232" t="s">
        <v>439</v>
      </c>
      <c r="D25" s="235" t="s">
        <v>447</v>
      </c>
      <c r="E25" s="582"/>
      <c r="F25" s="582"/>
      <c r="G25" s="582"/>
      <c r="H25" s="582"/>
      <c r="I25" s="582"/>
      <c r="J25" s="582"/>
      <c r="K25" s="582"/>
      <c r="L25" s="582"/>
      <c r="M25" s="582"/>
      <c r="N25" s="582"/>
      <c r="O25" s="582"/>
      <c r="P25" s="582"/>
      <c r="Q25" s="476">
        <f>SUM(E25:P25)</f>
        <v>0</v>
      </c>
    </row>
    <row r="26" spans="2:17" x14ac:dyDescent="0.25">
      <c r="B26" s="228">
        <f t="shared" si="0"/>
        <v>17</v>
      </c>
      <c r="C26" s="259" t="s">
        <v>494</v>
      </c>
      <c r="D26" s="235" t="s">
        <v>447</v>
      </c>
      <c r="E26" s="582"/>
      <c r="F26" s="582"/>
      <c r="G26" s="582"/>
      <c r="H26" s="582"/>
      <c r="I26" s="582"/>
      <c r="J26" s="582"/>
      <c r="K26" s="582"/>
      <c r="L26" s="582"/>
      <c r="M26" s="582"/>
      <c r="N26" s="582"/>
      <c r="O26" s="582"/>
      <c r="P26" s="582"/>
      <c r="Q26" s="582"/>
    </row>
    <row r="27" spans="2:17" x14ac:dyDescent="0.25">
      <c r="B27" s="228">
        <f t="shared" si="0"/>
        <v>18</v>
      </c>
      <c r="C27" s="232" t="s">
        <v>440</v>
      </c>
      <c r="D27" s="235" t="s">
        <v>447</v>
      </c>
      <c r="E27" s="582"/>
      <c r="F27" s="582"/>
      <c r="G27" s="582"/>
      <c r="H27" s="582"/>
      <c r="I27" s="582"/>
      <c r="J27" s="582"/>
      <c r="K27" s="582"/>
      <c r="L27" s="582"/>
      <c r="M27" s="582"/>
      <c r="N27" s="582"/>
      <c r="O27" s="582"/>
      <c r="P27" s="582"/>
      <c r="Q27" s="476">
        <f>SUM(E27:P27)</f>
        <v>0</v>
      </c>
    </row>
    <row r="28" spans="2:17" x14ac:dyDescent="0.25">
      <c r="B28" s="469">
        <f>+B27+1</f>
        <v>19</v>
      </c>
      <c r="C28" s="470" t="s">
        <v>868</v>
      </c>
      <c r="D28" s="471" t="s">
        <v>447</v>
      </c>
      <c r="E28" s="583"/>
      <c r="F28" s="583"/>
      <c r="G28" s="583"/>
      <c r="H28" s="583"/>
      <c r="I28" s="583"/>
      <c r="J28" s="583"/>
      <c r="K28" s="583"/>
      <c r="L28" s="583"/>
      <c r="M28" s="583"/>
      <c r="N28" s="583"/>
      <c r="O28" s="583"/>
      <c r="P28" s="583"/>
      <c r="Q28" s="584"/>
    </row>
    <row r="29" spans="2:17" x14ac:dyDescent="0.25">
      <c r="B29" s="469">
        <f t="shared" ref="B29:B31" si="4">+B28+1</f>
        <v>20</v>
      </c>
      <c r="C29" s="641" t="s">
        <v>991</v>
      </c>
      <c r="D29" s="473" t="s">
        <v>447</v>
      </c>
      <c r="E29" s="582"/>
      <c r="F29" s="582"/>
      <c r="G29" s="582"/>
      <c r="H29" s="582"/>
      <c r="I29" s="582"/>
      <c r="J29" s="582"/>
      <c r="K29" s="582"/>
      <c r="L29" s="582"/>
      <c r="M29" s="582"/>
      <c r="N29" s="582"/>
      <c r="O29" s="582"/>
      <c r="P29" s="582"/>
      <c r="Q29" s="476">
        <f>SUM(E29:P29)</f>
        <v>0</v>
      </c>
    </row>
    <row r="30" spans="2:17" x14ac:dyDescent="0.25">
      <c r="B30" s="469">
        <f t="shared" si="4"/>
        <v>21</v>
      </c>
      <c r="C30" s="488" t="s">
        <v>872</v>
      </c>
      <c r="D30" s="471" t="s">
        <v>447</v>
      </c>
      <c r="E30" s="582">
        <v>19.44541666588</v>
      </c>
      <c r="F30" s="582">
        <v>19.44541666588</v>
      </c>
      <c r="G30" s="582">
        <v>19.44541666588</v>
      </c>
      <c r="H30" s="582">
        <v>19.44541666588</v>
      </c>
      <c r="I30" s="582">
        <v>19.44541666588</v>
      </c>
      <c r="J30" s="582">
        <v>19.44541666588</v>
      </c>
      <c r="K30" s="582">
        <v>19.44541666588</v>
      </c>
      <c r="L30" s="582">
        <v>19.44541666588</v>
      </c>
      <c r="M30" s="582">
        <v>19.44541666588</v>
      </c>
      <c r="N30" s="582">
        <v>19.44541666588</v>
      </c>
      <c r="O30" s="582">
        <v>19.44541666588</v>
      </c>
      <c r="P30" s="582">
        <v>19.44541666588</v>
      </c>
      <c r="Q30" s="476">
        <f>SUM(E30:P30)</f>
        <v>233.34499999056001</v>
      </c>
    </row>
    <row r="31" spans="2:17" x14ac:dyDescent="0.25">
      <c r="B31" s="469">
        <f t="shared" si="4"/>
        <v>22</v>
      </c>
      <c r="C31" s="233" t="s">
        <v>441</v>
      </c>
      <c r="D31" s="235" t="s">
        <v>447</v>
      </c>
      <c r="E31" s="409">
        <f>SUM(E24:E30)</f>
        <v>29.384583332546669</v>
      </c>
      <c r="F31" s="409">
        <f t="shared" ref="F31:P31" si="5">SUM(F24:F30)</f>
        <v>29.384583332546669</v>
      </c>
      <c r="G31" s="409">
        <f t="shared" si="5"/>
        <v>29.384583332546669</v>
      </c>
      <c r="H31" s="409">
        <f t="shared" si="5"/>
        <v>29.384583332546669</v>
      </c>
      <c r="I31" s="409">
        <f t="shared" si="5"/>
        <v>29.384583332546669</v>
      </c>
      <c r="J31" s="409">
        <f t="shared" si="5"/>
        <v>29.384583332546669</v>
      </c>
      <c r="K31" s="409">
        <f t="shared" si="5"/>
        <v>29.384583332546669</v>
      </c>
      <c r="L31" s="409">
        <f t="shared" si="5"/>
        <v>29.384583332546669</v>
      </c>
      <c r="M31" s="409">
        <f t="shared" si="5"/>
        <v>29.384583332546669</v>
      </c>
      <c r="N31" s="409">
        <f t="shared" si="5"/>
        <v>29.384583332546669</v>
      </c>
      <c r="O31" s="409">
        <f t="shared" si="5"/>
        <v>29.384583332546669</v>
      </c>
      <c r="P31" s="409">
        <f t="shared" si="5"/>
        <v>29.384583332546669</v>
      </c>
      <c r="Q31" s="409">
        <f>SUM(Q24:Q30)-Q27</f>
        <v>352.61499999056002</v>
      </c>
    </row>
    <row r="32" spans="2:17" x14ac:dyDescent="0.25">
      <c r="B32" s="228">
        <f t="shared" si="0"/>
        <v>23</v>
      </c>
      <c r="C32" s="234" t="s">
        <v>442</v>
      </c>
      <c r="D32" s="235"/>
      <c r="E32" s="582"/>
      <c r="F32" s="582"/>
      <c r="G32" s="582"/>
      <c r="H32" s="582"/>
      <c r="I32" s="582"/>
      <c r="J32" s="582"/>
      <c r="K32" s="582"/>
      <c r="L32" s="582"/>
      <c r="M32" s="582"/>
      <c r="N32" s="582"/>
      <c r="O32" s="582"/>
      <c r="P32" s="582"/>
      <c r="Q32" s="476">
        <f>SUM(E32:P32)</f>
        <v>0</v>
      </c>
    </row>
    <row r="33" spans="2:19" x14ac:dyDescent="0.25">
      <c r="B33" s="228"/>
      <c r="C33" s="232" t="s">
        <v>425</v>
      </c>
      <c r="D33" s="235" t="s">
        <v>447</v>
      </c>
      <c r="E33" s="410"/>
      <c r="F33" s="585"/>
      <c r="G33" s="585"/>
      <c r="H33" s="585"/>
      <c r="I33" s="585"/>
      <c r="J33" s="585"/>
      <c r="K33" s="585"/>
      <c r="L33" s="585"/>
      <c r="M33" s="379"/>
      <c r="N33" s="379"/>
      <c r="O33" s="379"/>
      <c r="P33" s="379"/>
      <c r="Q33" s="379">
        <f t="shared" ref="Q33" si="6">SUM(E33:P33)</f>
        <v>0</v>
      </c>
    </row>
    <row r="34" spans="2:19" x14ac:dyDescent="0.25">
      <c r="B34" s="235">
        <f>B32+1</f>
        <v>24</v>
      </c>
      <c r="C34" s="236" t="s">
        <v>354</v>
      </c>
      <c r="D34" s="235" t="s">
        <v>447</v>
      </c>
      <c r="E34" s="410">
        <f t="shared" ref="E34:P34" si="7">SUM(E31:E33)</f>
        <v>29.384583332546669</v>
      </c>
      <c r="F34" s="410">
        <f t="shared" si="7"/>
        <v>29.384583332546669</v>
      </c>
      <c r="G34" s="410">
        <f t="shared" si="7"/>
        <v>29.384583332546669</v>
      </c>
      <c r="H34" s="410">
        <f t="shared" si="7"/>
        <v>29.384583332546669</v>
      </c>
      <c r="I34" s="410">
        <f t="shared" si="7"/>
        <v>29.384583332546669</v>
      </c>
      <c r="J34" s="410">
        <f t="shared" si="7"/>
        <v>29.384583332546669</v>
      </c>
      <c r="K34" s="410">
        <f t="shared" si="7"/>
        <v>29.384583332546669</v>
      </c>
      <c r="L34" s="410">
        <f t="shared" si="7"/>
        <v>29.384583332546669</v>
      </c>
      <c r="M34" s="410">
        <f t="shared" si="7"/>
        <v>29.384583332546669</v>
      </c>
      <c r="N34" s="410">
        <f t="shared" si="7"/>
        <v>29.384583332546669</v>
      </c>
      <c r="O34" s="410">
        <f t="shared" si="7"/>
        <v>29.384583332546669</v>
      </c>
      <c r="P34" s="410">
        <f t="shared" si="7"/>
        <v>29.384583332546669</v>
      </c>
      <c r="Q34" s="409">
        <f>SUM(Q31:Q33)</f>
        <v>352.61499999056002</v>
      </c>
    </row>
    <row r="35" spans="2:19" x14ac:dyDescent="0.25">
      <c r="B35" s="235">
        <f>B34+1</f>
        <v>25</v>
      </c>
      <c r="C35" s="236" t="s">
        <v>448</v>
      </c>
      <c r="D35" s="235" t="s">
        <v>447</v>
      </c>
      <c r="E35" s="410">
        <f t="shared" ref="E35:P35" si="8">E34</f>
        <v>29.384583332546669</v>
      </c>
      <c r="F35" s="410">
        <f t="shared" si="8"/>
        <v>29.384583332546669</v>
      </c>
      <c r="G35" s="410">
        <f t="shared" si="8"/>
        <v>29.384583332546669</v>
      </c>
      <c r="H35" s="410">
        <f t="shared" si="8"/>
        <v>29.384583332546669</v>
      </c>
      <c r="I35" s="410">
        <f t="shared" si="8"/>
        <v>29.384583332546669</v>
      </c>
      <c r="J35" s="410">
        <f t="shared" si="8"/>
        <v>29.384583332546669</v>
      </c>
      <c r="K35" s="410">
        <f t="shared" si="8"/>
        <v>29.384583332546669</v>
      </c>
      <c r="L35" s="410">
        <f t="shared" si="8"/>
        <v>29.384583332546669</v>
      </c>
      <c r="M35" s="410">
        <f t="shared" si="8"/>
        <v>29.384583332546669</v>
      </c>
      <c r="N35" s="410">
        <f t="shared" si="8"/>
        <v>29.384583332546669</v>
      </c>
      <c r="O35" s="410">
        <f t="shared" si="8"/>
        <v>29.384583332546669</v>
      </c>
      <c r="P35" s="410">
        <f t="shared" si="8"/>
        <v>29.384583332546669</v>
      </c>
      <c r="Q35" s="409">
        <f>Q34</f>
        <v>352.61499999056002</v>
      </c>
      <c r="R35" s="489">
        <f>'F9'!N14-Q34</f>
        <v>0</v>
      </c>
      <c r="S35" s="490"/>
    </row>
    <row r="37" spans="2:19" x14ac:dyDescent="0.25">
      <c r="B37" s="240" t="s">
        <v>971</v>
      </c>
    </row>
    <row r="38" spans="2:19" x14ac:dyDescent="0.25">
      <c r="B38" s="240" t="s">
        <v>490</v>
      </c>
    </row>
    <row r="39" spans="2:19" ht="26" x14ac:dyDescent="0.25">
      <c r="B39" s="226" t="s">
        <v>430</v>
      </c>
      <c r="C39" s="226" t="s">
        <v>37</v>
      </c>
      <c r="D39" s="226" t="s">
        <v>93</v>
      </c>
      <c r="E39" s="339" t="s">
        <v>279</v>
      </c>
      <c r="F39" s="339" t="s">
        <v>280</v>
      </c>
      <c r="G39" s="108" t="s">
        <v>281</v>
      </c>
      <c r="H39" s="108" t="s">
        <v>282</v>
      </c>
      <c r="I39" s="108" t="s">
        <v>283</v>
      </c>
      <c r="J39" s="108" t="s">
        <v>284</v>
      </c>
      <c r="K39" s="108" t="s">
        <v>285</v>
      </c>
      <c r="L39" s="108" t="s">
        <v>286</v>
      </c>
      <c r="M39" s="108" t="s">
        <v>287</v>
      </c>
      <c r="N39" s="108" t="s">
        <v>288</v>
      </c>
      <c r="O39" s="108" t="s">
        <v>289</v>
      </c>
      <c r="P39" s="108" t="s">
        <v>290</v>
      </c>
      <c r="Q39" s="227" t="s">
        <v>271</v>
      </c>
    </row>
    <row r="40" spans="2:19" x14ac:dyDescent="0.25">
      <c r="B40" s="228">
        <v>1</v>
      </c>
      <c r="C40" s="229" t="s">
        <v>368</v>
      </c>
      <c r="D40" s="228" t="s">
        <v>98</v>
      </c>
      <c r="E40" s="892"/>
      <c r="F40" s="892"/>
      <c r="G40" s="892"/>
      <c r="H40" s="892"/>
      <c r="I40" s="892"/>
      <c r="J40" s="892"/>
      <c r="K40" s="892"/>
      <c r="L40" s="892"/>
      <c r="M40" s="892"/>
      <c r="N40" s="892"/>
      <c r="O40" s="892"/>
      <c r="P40" s="892"/>
      <c r="Q40" s="474"/>
    </row>
    <row r="41" spans="2:19" x14ac:dyDescent="0.25">
      <c r="B41" s="228">
        <f>B40+1</f>
        <v>2</v>
      </c>
      <c r="C41" s="229" t="s">
        <v>431</v>
      </c>
      <c r="D41" s="228" t="s">
        <v>98</v>
      </c>
      <c r="E41" s="893"/>
      <c r="F41" s="893"/>
      <c r="G41" s="893"/>
      <c r="H41" s="893"/>
      <c r="I41" s="893"/>
      <c r="J41" s="893"/>
      <c r="K41" s="893"/>
      <c r="L41" s="893"/>
      <c r="M41" s="893"/>
      <c r="N41" s="893"/>
      <c r="O41" s="893"/>
      <c r="P41" s="893"/>
      <c r="Q41" s="231"/>
    </row>
    <row r="42" spans="2:19" x14ac:dyDescent="0.25">
      <c r="B42" s="228">
        <f>B41+1</f>
        <v>3</v>
      </c>
      <c r="C42" s="229" t="s">
        <v>432</v>
      </c>
      <c r="D42" s="228" t="s">
        <v>98</v>
      </c>
      <c r="E42" s="892"/>
      <c r="F42" s="892"/>
      <c r="G42" s="892"/>
      <c r="H42" s="892"/>
      <c r="I42" s="892"/>
      <c r="J42" s="892"/>
      <c r="K42" s="892"/>
      <c r="L42" s="892"/>
      <c r="M42" s="892"/>
      <c r="N42" s="892"/>
      <c r="O42" s="892"/>
      <c r="P42" s="892"/>
      <c r="Q42" s="475"/>
    </row>
    <row r="43" spans="2:19" x14ac:dyDescent="0.25">
      <c r="B43" s="228">
        <f t="shared" ref="B43:B64" si="9">B42+1</f>
        <v>4</v>
      </c>
      <c r="C43" s="229" t="s">
        <v>99</v>
      </c>
      <c r="D43" s="228" t="s">
        <v>98</v>
      </c>
      <c r="E43" s="892"/>
      <c r="F43" s="892"/>
      <c r="G43" s="892"/>
      <c r="H43" s="892"/>
      <c r="I43" s="892"/>
      <c r="J43" s="892"/>
      <c r="K43" s="892"/>
      <c r="L43" s="892"/>
      <c r="M43" s="892"/>
      <c r="N43" s="892"/>
      <c r="O43" s="892"/>
      <c r="P43" s="892"/>
      <c r="Q43" s="230"/>
    </row>
    <row r="44" spans="2:19" x14ac:dyDescent="0.25">
      <c r="B44" s="228">
        <f t="shared" si="9"/>
        <v>5</v>
      </c>
      <c r="C44" s="229" t="s">
        <v>433</v>
      </c>
      <c r="D44" s="228" t="s">
        <v>98</v>
      </c>
      <c r="E44" s="892"/>
      <c r="F44" s="892"/>
      <c r="G44" s="892"/>
      <c r="H44" s="892"/>
      <c r="I44" s="892"/>
      <c r="J44" s="892"/>
      <c r="K44" s="892"/>
      <c r="L44" s="892"/>
      <c r="M44" s="892"/>
      <c r="N44" s="892"/>
      <c r="O44" s="892"/>
      <c r="P44" s="892"/>
      <c r="Q44" s="474"/>
    </row>
    <row r="45" spans="2:19" x14ac:dyDescent="0.25">
      <c r="B45" s="228">
        <v>7</v>
      </c>
      <c r="C45" s="229" t="s">
        <v>434</v>
      </c>
      <c r="D45" s="228" t="s">
        <v>98</v>
      </c>
      <c r="E45" s="892"/>
      <c r="F45" s="892"/>
      <c r="G45" s="892"/>
      <c r="H45" s="892"/>
      <c r="I45" s="892"/>
      <c r="J45" s="892"/>
      <c r="K45" s="892"/>
      <c r="L45" s="892"/>
      <c r="M45" s="892"/>
      <c r="N45" s="892"/>
      <c r="O45" s="892"/>
      <c r="P45" s="892"/>
      <c r="Q45" s="475"/>
    </row>
    <row r="46" spans="2:19" x14ac:dyDescent="0.25">
      <c r="B46" s="228">
        <f t="shared" si="9"/>
        <v>8</v>
      </c>
      <c r="C46" s="232" t="s">
        <v>435</v>
      </c>
      <c r="D46" s="235" t="s">
        <v>100</v>
      </c>
      <c r="E46" s="894">
        <v>77.65231799999998</v>
      </c>
      <c r="F46" s="894">
        <v>58.877489999999966</v>
      </c>
      <c r="G46" s="894">
        <v>41.335059999999999</v>
      </c>
      <c r="H46" s="894">
        <v>11.299950000000024</v>
      </c>
      <c r="I46" s="894">
        <v>25.657140000000027</v>
      </c>
      <c r="J46" s="894">
        <v>43.616125459838969</v>
      </c>
      <c r="K46" s="894">
        <v>24.671209999999974</v>
      </c>
      <c r="L46" s="894">
        <v>34.117745999999983</v>
      </c>
      <c r="M46" s="894">
        <v>59.022649999999999</v>
      </c>
      <c r="N46" s="894">
        <v>76.752033000000011</v>
      </c>
      <c r="O46" s="894">
        <v>63.33605</v>
      </c>
      <c r="P46" s="894">
        <v>73.537879999999973</v>
      </c>
      <c r="Q46" s="476">
        <f>SUM(E46:P46)</f>
        <v>589.87565245983888</v>
      </c>
    </row>
    <row r="47" spans="2:19" x14ac:dyDescent="0.25">
      <c r="B47" s="228">
        <f t="shared" si="9"/>
        <v>9</v>
      </c>
      <c r="C47" s="232" t="s">
        <v>436</v>
      </c>
      <c r="D47" s="235" t="s">
        <v>100</v>
      </c>
      <c r="E47" s="894">
        <v>0.32</v>
      </c>
      <c r="F47" s="894">
        <v>0.41788676000004443</v>
      </c>
      <c r="G47" s="894">
        <v>0.48798669999996491</v>
      </c>
      <c r="H47" s="894">
        <v>0.59164280000001668</v>
      </c>
      <c r="I47" s="894">
        <v>0.56218540000000417</v>
      </c>
      <c r="J47" s="894">
        <v>0.53718612000000121</v>
      </c>
      <c r="K47" s="894">
        <v>0.59518628999998668</v>
      </c>
      <c r="L47" s="894">
        <v>0.59242443999994521</v>
      </c>
      <c r="M47" s="894">
        <v>0.52911079999998378</v>
      </c>
      <c r="N47" s="894">
        <v>0.58829159999997671</v>
      </c>
      <c r="O47" s="894">
        <v>0.66514600000004975</v>
      </c>
      <c r="P47" s="894">
        <v>0.58752370000001974</v>
      </c>
      <c r="Q47" s="476">
        <f>SUM(E47:P47)</f>
        <v>6.4745706099999936</v>
      </c>
    </row>
    <row r="48" spans="2:19" x14ac:dyDescent="0.25">
      <c r="B48" s="228">
        <f t="shared" si="9"/>
        <v>10</v>
      </c>
      <c r="C48" s="232" t="s">
        <v>484</v>
      </c>
      <c r="D48" s="235" t="s">
        <v>100</v>
      </c>
      <c r="E48" s="894">
        <f>E46-E47</f>
        <v>77.332317999999987</v>
      </c>
      <c r="F48" s="894">
        <f t="shared" ref="F48:P48" si="10">F46-F47</f>
        <v>58.459603239999922</v>
      </c>
      <c r="G48" s="894">
        <f t="shared" si="10"/>
        <v>40.847073300000034</v>
      </c>
      <c r="H48" s="894">
        <f t="shared" si="10"/>
        <v>10.708307200000007</v>
      </c>
      <c r="I48" s="894">
        <f t="shared" si="10"/>
        <v>25.094954600000023</v>
      </c>
      <c r="J48" s="894">
        <f t="shared" si="10"/>
        <v>43.078939339838968</v>
      </c>
      <c r="K48" s="894">
        <f t="shared" si="10"/>
        <v>24.076023709999987</v>
      </c>
      <c r="L48" s="894">
        <f t="shared" si="10"/>
        <v>33.525321560000037</v>
      </c>
      <c r="M48" s="894">
        <f t="shared" si="10"/>
        <v>58.493539200000015</v>
      </c>
      <c r="N48" s="894">
        <f t="shared" si="10"/>
        <v>76.163741400000035</v>
      </c>
      <c r="O48" s="894">
        <f t="shared" si="10"/>
        <v>62.67090399999995</v>
      </c>
      <c r="P48" s="894">
        <f t="shared" si="10"/>
        <v>72.950356299999953</v>
      </c>
      <c r="Q48" s="476">
        <f>SUM(E48:P48)</f>
        <v>583.40108184983887</v>
      </c>
    </row>
    <row r="49" spans="2:17" x14ac:dyDescent="0.25">
      <c r="B49" s="228">
        <f t="shared" si="9"/>
        <v>11</v>
      </c>
      <c r="C49" s="259" t="s">
        <v>491</v>
      </c>
      <c r="D49" s="235" t="s">
        <v>100</v>
      </c>
      <c r="E49" s="894"/>
      <c r="F49" s="894"/>
      <c r="G49" s="894"/>
      <c r="H49" s="894"/>
      <c r="I49" s="894"/>
      <c r="J49" s="894"/>
      <c r="K49" s="894"/>
      <c r="L49" s="894"/>
      <c r="M49" s="894"/>
      <c r="N49" s="894"/>
      <c r="O49" s="894"/>
      <c r="P49" s="894"/>
      <c r="Q49" s="379">
        <f>SUM(E49:P49)</f>
        <v>0</v>
      </c>
    </row>
    <row r="50" spans="2:17" x14ac:dyDescent="0.25">
      <c r="B50" s="228">
        <f t="shared" si="9"/>
        <v>12</v>
      </c>
      <c r="C50" s="232" t="s">
        <v>437</v>
      </c>
      <c r="D50" s="235" t="s">
        <v>446</v>
      </c>
      <c r="E50" s="894">
        <f t="shared" ref="E50:P50" si="11">E54/E48*10</f>
        <v>0</v>
      </c>
      <c r="F50" s="894">
        <f t="shared" si="11"/>
        <v>0</v>
      </c>
      <c r="G50" s="894">
        <f t="shared" si="11"/>
        <v>0</v>
      </c>
      <c r="H50" s="894">
        <f t="shared" si="11"/>
        <v>0</v>
      </c>
      <c r="I50" s="894">
        <f t="shared" si="11"/>
        <v>0</v>
      </c>
      <c r="J50" s="894">
        <f t="shared" si="11"/>
        <v>0</v>
      </c>
      <c r="K50" s="894">
        <f t="shared" si="11"/>
        <v>0</v>
      </c>
      <c r="L50" s="894">
        <f t="shared" si="11"/>
        <v>0</v>
      </c>
      <c r="M50" s="894">
        <f t="shared" si="11"/>
        <v>0</v>
      </c>
      <c r="N50" s="894">
        <f t="shared" si="11"/>
        <v>0</v>
      </c>
      <c r="O50" s="894">
        <f t="shared" si="11"/>
        <v>0</v>
      </c>
      <c r="P50" s="894">
        <f t="shared" si="11"/>
        <v>0</v>
      </c>
      <c r="Q50" s="476">
        <f>Q54/Q48*10</f>
        <v>0</v>
      </c>
    </row>
    <row r="51" spans="2:17" x14ac:dyDescent="0.25">
      <c r="B51" s="228">
        <f t="shared" si="9"/>
        <v>13</v>
      </c>
      <c r="C51" s="259" t="s">
        <v>492</v>
      </c>
      <c r="D51" s="235" t="s">
        <v>447</v>
      </c>
      <c r="E51" s="894">
        <v>0</v>
      </c>
      <c r="F51" s="894">
        <v>0</v>
      </c>
      <c r="G51" s="894">
        <v>0</v>
      </c>
      <c r="H51" s="894">
        <v>0</v>
      </c>
      <c r="I51" s="894">
        <v>0</v>
      </c>
      <c r="J51" s="894">
        <v>0</v>
      </c>
      <c r="K51" s="894">
        <v>0</v>
      </c>
      <c r="L51" s="894">
        <v>0</v>
      </c>
      <c r="M51" s="894">
        <v>0</v>
      </c>
      <c r="N51" s="894">
        <v>0</v>
      </c>
      <c r="O51" s="894">
        <v>0</v>
      </c>
      <c r="P51" s="894">
        <v>0</v>
      </c>
      <c r="Q51" s="376"/>
    </row>
    <row r="52" spans="2:17" x14ac:dyDescent="0.25">
      <c r="B52" s="228">
        <f t="shared" si="9"/>
        <v>14</v>
      </c>
      <c r="C52" s="259" t="s">
        <v>493</v>
      </c>
      <c r="D52" s="235" t="s">
        <v>446</v>
      </c>
      <c r="E52" s="894">
        <f t="shared" ref="E52:P52" si="12">E55*10/E48</f>
        <v>0</v>
      </c>
      <c r="F52" s="894">
        <f t="shared" si="12"/>
        <v>0</v>
      </c>
      <c r="G52" s="894">
        <f t="shared" si="12"/>
        <v>0</v>
      </c>
      <c r="H52" s="894">
        <f t="shared" si="12"/>
        <v>0</v>
      </c>
      <c r="I52" s="894">
        <f t="shared" si="12"/>
        <v>0</v>
      </c>
      <c r="J52" s="894">
        <f t="shared" si="12"/>
        <v>0</v>
      </c>
      <c r="K52" s="894">
        <f t="shared" si="12"/>
        <v>0</v>
      </c>
      <c r="L52" s="894">
        <f t="shared" si="12"/>
        <v>0</v>
      </c>
      <c r="M52" s="894">
        <f t="shared" si="12"/>
        <v>0</v>
      </c>
      <c r="N52" s="894">
        <f t="shared" si="12"/>
        <v>0</v>
      </c>
      <c r="O52" s="894">
        <f t="shared" si="12"/>
        <v>0</v>
      </c>
      <c r="P52" s="894">
        <f t="shared" si="12"/>
        <v>0</v>
      </c>
      <c r="Q52" s="376">
        <f t="shared" ref="Q52" si="13">Q55*10/Q48</f>
        <v>0</v>
      </c>
    </row>
    <row r="53" spans="2:17" x14ac:dyDescent="0.25">
      <c r="B53" s="228">
        <f t="shared" si="9"/>
        <v>15</v>
      </c>
      <c r="C53" s="232" t="s">
        <v>438</v>
      </c>
      <c r="D53" s="235" t="s">
        <v>447</v>
      </c>
      <c r="E53" s="894">
        <v>11.366630890531553</v>
      </c>
      <c r="F53" s="894">
        <v>11.366630890531553</v>
      </c>
      <c r="G53" s="894">
        <v>11.366630890531553</v>
      </c>
      <c r="H53" s="894">
        <v>11.366630890531553</v>
      </c>
      <c r="I53" s="894">
        <v>11.366630890531553</v>
      </c>
      <c r="J53" s="894">
        <v>11.366630890531553</v>
      </c>
      <c r="K53" s="894">
        <v>11.366630890531553</v>
      </c>
      <c r="L53" s="894">
        <v>11.366630890531553</v>
      </c>
      <c r="M53" s="894">
        <v>11.366630890531553</v>
      </c>
      <c r="N53" s="894">
        <v>11.366630890531553</v>
      </c>
      <c r="O53" s="894">
        <v>11.366630890531553</v>
      </c>
      <c r="P53" s="894">
        <v>11.366630890531553</v>
      </c>
      <c r="Q53" s="476">
        <f>SUM(E53:P53)</f>
        <v>136.39957068637864</v>
      </c>
    </row>
    <row r="54" spans="2:17" x14ac:dyDescent="0.25">
      <c r="B54" s="228">
        <f t="shared" si="9"/>
        <v>16</v>
      </c>
      <c r="C54" s="232" t="s">
        <v>439</v>
      </c>
      <c r="D54" s="235" t="s">
        <v>447</v>
      </c>
      <c r="E54" s="894">
        <v>0</v>
      </c>
      <c r="F54" s="894">
        <v>0</v>
      </c>
      <c r="G54" s="894">
        <v>0</v>
      </c>
      <c r="H54" s="894">
        <v>0</v>
      </c>
      <c r="I54" s="894">
        <v>0</v>
      </c>
      <c r="J54" s="894">
        <v>0</v>
      </c>
      <c r="K54" s="894">
        <v>0</v>
      </c>
      <c r="L54" s="894">
        <v>0</v>
      </c>
      <c r="M54" s="894">
        <v>0</v>
      </c>
      <c r="N54" s="894">
        <v>0</v>
      </c>
      <c r="O54" s="894">
        <v>0</v>
      </c>
      <c r="P54" s="894">
        <v>0</v>
      </c>
      <c r="Q54" s="476">
        <f>SUM(E54:P54)</f>
        <v>0</v>
      </c>
    </row>
    <row r="55" spans="2:17" x14ac:dyDescent="0.25">
      <c r="B55" s="228">
        <f t="shared" si="9"/>
        <v>17</v>
      </c>
      <c r="C55" s="259" t="s">
        <v>494</v>
      </c>
      <c r="D55" s="235" t="s">
        <v>447</v>
      </c>
      <c r="E55" s="894">
        <v>0</v>
      </c>
      <c r="F55" s="894">
        <v>0</v>
      </c>
      <c r="G55" s="894">
        <v>0</v>
      </c>
      <c r="H55" s="894">
        <v>0</v>
      </c>
      <c r="I55" s="894">
        <v>0</v>
      </c>
      <c r="J55" s="894">
        <v>0</v>
      </c>
      <c r="K55" s="894">
        <v>0</v>
      </c>
      <c r="L55" s="894">
        <v>0</v>
      </c>
      <c r="M55" s="894">
        <v>0</v>
      </c>
      <c r="N55" s="894">
        <v>0</v>
      </c>
      <c r="O55" s="894">
        <v>0</v>
      </c>
      <c r="P55" s="894">
        <v>0</v>
      </c>
      <c r="Q55" s="476">
        <f>SUM(E55:P55)</f>
        <v>0</v>
      </c>
    </row>
    <row r="56" spans="2:17" x14ac:dyDescent="0.25">
      <c r="B56" s="228">
        <f t="shared" si="9"/>
        <v>18</v>
      </c>
      <c r="C56" s="232" t="s">
        <v>440</v>
      </c>
      <c r="D56" s="235" t="s">
        <v>447</v>
      </c>
      <c r="E56" s="582"/>
      <c r="F56" s="582"/>
      <c r="G56" s="582"/>
      <c r="H56" s="582"/>
      <c r="I56" s="582"/>
      <c r="J56" s="582"/>
      <c r="K56" s="582"/>
      <c r="L56" s="582"/>
      <c r="M56" s="582"/>
      <c r="N56" s="582"/>
      <c r="O56" s="582"/>
      <c r="P56" s="582"/>
      <c r="Q56" s="379">
        <f t="shared" ref="Q56" si="14">SUM(E56:P56)</f>
        <v>0</v>
      </c>
    </row>
    <row r="57" spans="2:17" x14ac:dyDescent="0.25">
      <c r="B57" s="469">
        <f>+B56+1</f>
        <v>19</v>
      </c>
      <c r="C57" s="470" t="s">
        <v>868</v>
      </c>
      <c r="D57" s="471" t="s">
        <v>447</v>
      </c>
      <c r="E57" s="583"/>
      <c r="F57" s="583"/>
      <c r="G57" s="583"/>
      <c r="H57" s="583"/>
      <c r="I57" s="583"/>
      <c r="J57" s="583"/>
      <c r="K57" s="583"/>
      <c r="L57" s="583"/>
      <c r="M57" s="583"/>
      <c r="N57" s="583"/>
      <c r="O57" s="583"/>
      <c r="P57" s="583"/>
      <c r="Q57" s="584"/>
    </row>
    <row r="58" spans="2:17" x14ac:dyDescent="0.25">
      <c r="B58" s="469">
        <f t="shared" ref="B58:B63" si="15">+B57+1</f>
        <v>20</v>
      </c>
      <c r="C58" s="472" t="s">
        <v>869</v>
      </c>
      <c r="D58" s="473" t="s">
        <v>447</v>
      </c>
      <c r="E58" s="582"/>
      <c r="F58" s="582"/>
      <c r="G58" s="582"/>
      <c r="H58" s="582"/>
      <c r="I58" s="582"/>
      <c r="J58" s="582"/>
      <c r="K58" s="582"/>
      <c r="L58" s="582"/>
      <c r="M58" s="582"/>
      <c r="N58" s="582"/>
      <c r="O58" s="582"/>
      <c r="P58" s="582"/>
      <c r="Q58" s="582"/>
    </row>
    <row r="59" spans="2:17" x14ac:dyDescent="0.25">
      <c r="B59" s="469">
        <f t="shared" si="15"/>
        <v>21</v>
      </c>
      <c r="C59" s="488" t="s">
        <v>872</v>
      </c>
      <c r="D59" s="473"/>
      <c r="E59" s="582">
        <v>19.175983333333335</v>
      </c>
      <c r="F59" s="582">
        <v>19.175983333333335</v>
      </c>
      <c r="G59" s="582">
        <v>19.175983333333335</v>
      </c>
      <c r="H59" s="582">
        <v>19.175983333333335</v>
      </c>
      <c r="I59" s="582">
        <v>19.175983333333335</v>
      </c>
      <c r="J59" s="582">
        <v>19.175983333333335</v>
      </c>
      <c r="K59" s="582">
        <v>19.175983333333335</v>
      </c>
      <c r="L59" s="582">
        <v>19.175983333333335</v>
      </c>
      <c r="M59" s="582">
        <v>19.175983333333335</v>
      </c>
      <c r="N59" s="582">
        <v>19.175983333333335</v>
      </c>
      <c r="O59" s="582">
        <v>19.175983333333335</v>
      </c>
      <c r="P59" s="582">
        <v>19.175983333333335</v>
      </c>
      <c r="Q59" s="476">
        <f>SUM(E59:P59)</f>
        <v>230.11180000000002</v>
      </c>
    </row>
    <row r="60" spans="2:17" x14ac:dyDescent="0.25">
      <c r="B60" s="469">
        <f t="shared" si="15"/>
        <v>22</v>
      </c>
      <c r="C60" s="488" t="s">
        <v>878</v>
      </c>
      <c r="D60" s="473"/>
      <c r="E60" s="582"/>
      <c r="F60" s="582"/>
      <c r="G60" s="582"/>
      <c r="H60" s="582"/>
      <c r="I60" s="582"/>
      <c r="J60" s="582"/>
      <c r="K60" s="582"/>
      <c r="L60" s="582"/>
      <c r="M60" s="582"/>
      <c r="N60" s="582"/>
      <c r="O60" s="582"/>
      <c r="P60" s="582"/>
      <c r="Q60" s="582">
        <f t="shared" ref="Q60:Q62" si="16">SUM(E60:P60)</f>
        <v>0</v>
      </c>
    </row>
    <row r="61" spans="2:17" x14ac:dyDescent="0.25">
      <c r="B61" s="469">
        <f t="shared" si="15"/>
        <v>23</v>
      </c>
      <c r="C61" s="488" t="s">
        <v>879</v>
      </c>
      <c r="D61" s="473"/>
      <c r="E61" s="582"/>
      <c r="F61" s="582"/>
      <c r="G61" s="582"/>
      <c r="H61" s="582"/>
      <c r="I61" s="582"/>
      <c r="J61" s="582"/>
      <c r="K61" s="582"/>
      <c r="L61" s="582"/>
      <c r="M61" s="582"/>
      <c r="N61" s="582"/>
      <c r="O61" s="582"/>
      <c r="P61" s="582"/>
      <c r="Q61" s="582">
        <f t="shared" si="16"/>
        <v>0</v>
      </c>
    </row>
    <row r="62" spans="2:17" ht="26" x14ac:dyDescent="0.25">
      <c r="B62" s="469">
        <f t="shared" si="15"/>
        <v>24</v>
      </c>
      <c r="C62" s="488" t="s">
        <v>880</v>
      </c>
      <c r="D62" s="473"/>
      <c r="E62" s="582"/>
      <c r="F62" s="582"/>
      <c r="G62" s="582"/>
      <c r="H62" s="582"/>
      <c r="I62" s="582"/>
      <c r="J62" s="582"/>
      <c r="K62" s="582"/>
      <c r="L62" s="582"/>
      <c r="M62" s="582"/>
      <c r="N62" s="582"/>
      <c r="O62" s="582"/>
      <c r="P62" s="582"/>
      <c r="Q62" s="582">
        <f t="shared" si="16"/>
        <v>0</v>
      </c>
    </row>
    <row r="63" spans="2:17" x14ac:dyDescent="0.25">
      <c r="B63" s="469">
        <f t="shared" si="15"/>
        <v>25</v>
      </c>
      <c r="C63" s="233" t="s">
        <v>441</v>
      </c>
      <c r="D63" s="235" t="s">
        <v>447</v>
      </c>
      <c r="E63" s="406">
        <f>SUM(E53:E62)</f>
        <v>30.542614223864888</v>
      </c>
      <c r="F63" s="406">
        <f t="shared" ref="F63:P63" si="17">SUM(F53:F62)</f>
        <v>30.542614223864888</v>
      </c>
      <c r="G63" s="406">
        <f t="shared" si="17"/>
        <v>30.542614223864888</v>
      </c>
      <c r="H63" s="406">
        <f t="shared" si="17"/>
        <v>30.542614223864888</v>
      </c>
      <c r="I63" s="406">
        <f t="shared" si="17"/>
        <v>30.542614223864888</v>
      </c>
      <c r="J63" s="406">
        <f t="shared" si="17"/>
        <v>30.542614223864888</v>
      </c>
      <c r="K63" s="406">
        <f t="shared" si="17"/>
        <v>30.542614223864888</v>
      </c>
      <c r="L63" s="406">
        <f t="shared" si="17"/>
        <v>30.542614223864888</v>
      </c>
      <c r="M63" s="406">
        <f t="shared" si="17"/>
        <v>30.542614223864888</v>
      </c>
      <c r="N63" s="406">
        <f t="shared" si="17"/>
        <v>30.542614223864888</v>
      </c>
      <c r="O63" s="406">
        <f t="shared" si="17"/>
        <v>30.542614223864888</v>
      </c>
      <c r="P63" s="406">
        <f t="shared" si="17"/>
        <v>30.542614223864888</v>
      </c>
      <c r="Q63" s="895">
        <f>SUM(E63:P63)</f>
        <v>366.51137068637877</v>
      </c>
    </row>
    <row r="64" spans="2:17" x14ac:dyDescent="0.25">
      <c r="B64" s="228">
        <f t="shared" si="9"/>
        <v>26</v>
      </c>
      <c r="C64" s="234" t="s">
        <v>442</v>
      </c>
      <c r="D64" s="235"/>
      <c r="E64" s="582"/>
      <c r="F64" s="582"/>
      <c r="G64" s="582"/>
      <c r="H64" s="582"/>
      <c r="I64" s="582"/>
      <c r="J64" s="582"/>
      <c r="K64" s="582"/>
      <c r="L64" s="582"/>
      <c r="M64" s="582"/>
      <c r="N64" s="582"/>
      <c r="O64" s="582"/>
      <c r="P64" s="582"/>
      <c r="Q64" s="896"/>
    </row>
    <row r="65" spans="2:19" x14ac:dyDescent="0.25">
      <c r="B65" s="228"/>
      <c r="C65" s="232" t="s">
        <v>425</v>
      </c>
      <c r="D65" s="235" t="s">
        <v>447</v>
      </c>
      <c r="E65" s="410"/>
      <c r="F65" s="585"/>
      <c r="G65" s="585"/>
      <c r="H65" s="585"/>
      <c r="I65" s="585"/>
      <c r="J65" s="585"/>
      <c r="K65" s="585"/>
      <c r="L65" s="585"/>
      <c r="M65" s="379"/>
      <c r="N65" s="379"/>
      <c r="O65" s="379"/>
      <c r="P65" s="379"/>
      <c r="Q65" s="406">
        <f t="shared" ref="Q65" si="18">SUM(E65:P65)</f>
        <v>0</v>
      </c>
    </row>
    <row r="66" spans="2:19" x14ac:dyDescent="0.25">
      <c r="B66" s="235">
        <f>B64+1</f>
        <v>27</v>
      </c>
      <c r="C66" s="236" t="s">
        <v>354</v>
      </c>
      <c r="D66" s="235" t="s">
        <v>447</v>
      </c>
      <c r="E66" s="410">
        <f t="shared" ref="E66:P66" si="19">SUM(E63:E65)</f>
        <v>30.542614223864888</v>
      </c>
      <c r="F66" s="410">
        <f t="shared" si="19"/>
        <v>30.542614223864888</v>
      </c>
      <c r="G66" s="410">
        <f t="shared" si="19"/>
        <v>30.542614223864888</v>
      </c>
      <c r="H66" s="410">
        <f t="shared" si="19"/>
        <v>30.542614223864888</v>
      </c>
      <c r="I66" s="410">
        <f t="shared" si="19"/>
        <v>30.542614223864888</v>
      </c>
      <c r="J66" s="410">
        <f t="shared" si="19"/>
        <v>30.542614223864888</v>
      </c>
      <c r="K66" s="410">
        <f t="shared" si="19"/>
        <v>30.542614223864888</v>
      </c>
      <c r="L66" s="410">
        <f t="shared" si="19"/>
        <v>30.542614223864888</v>
      </c>
      <c r="M66" s="410">
        <f t="shared" si="19"/>
        <v>30.542614223864888</v>
      </c>
      <c r="N66" s="410">
        <f t="shared" si="19"/>
        <v>30.542614223864888</v>
      </c>
      <c r="O66" s="410">
        <f t="shared" si="19"/>
        <v>30.542614223864888</v>
      </c>
      <c r="P66" s="410">
        <f t="shared" si="19"/>
        <v>30.542614223864888</v>
      </c>
      <c r="Q66" s="409">
        <f>SUM(Q63:Q65)</f>
        <v>366.51137068637877</v>
      </c>
    </row>
    <row r="67" spans="2:19" x14ac:dyDescent="0.25">
      <c r="B67" s="235">
        <f>B66+1</f>
        <v>28</v>
      </c>
      <c r="C67" s="236" t="s">
        <v>448</v>
      </c>
      <c r="D67" s="235" t="s">
        <v>447</v>
      </c>
      <c r="E67" s="410">
        <f t="shared" ref="E67:P67" si="20">E66</f>
        <v>30.542614223864888</v>
      </c>
      <c r="F67" s="410">
        <f t="shared" si="20"/>
        <v>30.542614223864888</v>
      </c>
      <c r="G67" s="410">
        <f t="shared" si="20"/>
        <v>30.542614223864888</v>
      </c>
      <c r="H67" s="410">
        <f t="shared" si="20"/>
        <v>30.542614223864888</v>
      </c>
      <c r="I67" s="410">
        <f t="shared" si="20"/>
        <v>30.542614223864888</v>
      </c>
      <c r="J67" s="410">
        <f t="shared" si="20"/>
        <v>30.542614223864888</v>
      </c>
      <c r="K67" s="410">
        <f t="shared" si="20"/>
        <v>30.542614223864888</v>
      </c>
      <c r="L67" s="410">
        <f t="shared" si="20"/>
        <v>30.542614223864888</v>
      </c>
      <c r="M67" s="410">
        <f t="shared" si="20"/>
        <v>30.542614223864888</v>
      </c>
      <c r="N67" s="410">
        <f t="shared" si="20"/>
        <v>30.542614223864888</v>
      </c>
      <c r="O67" s="410">
        <f t="shared" si="20"/>
        <v>30.542614223864888</v>
      </c>
      <c r="P67" s="410">
        <f t="shared" si="20"/>
        <v>30.542614223864888</v>
      </c>
      <c r="Q67" s="409">
        <f>Q66</f>
        <v>366.51137068637877</v>
      </c>
      <c r="R67" s="516">
        <f>'F9'!N23-'F9.1'!Q67</f>
        <v>0</v>
      </c>
      <c r="S67" s="489"/>
    </row>
    <row r="70" spans="2:19" ht="14" x14ac:dyDescent="0.3">
      <c r="C70" s="53" t="s">
        <v>152</v>
      </c>
      <c r="D70" s="53"/>
    </row>
    <row r="71" spans="2:19" ht="14" x14ac:dyDescent="0.3">
      <c r="C71" s="40" t="s">
        <v>485</v>
      </c>
      <c r="D71" s="40"/>
    </row>
  </sheetData>
  <pageMargins left="0.7" right="0.7" top="0.75" bottom="0.75" header="0.3" footer="0.3"/>
  <pageSetup paperSize="9" scale="4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O69"/>
  <sheetViews>
    <sheetView showGridLines="0" view="pageBreakPreview" topLeftCell="A34" zoomScale="80" zoomScaleNormal="80" zoomScaleSheetLayoutView="80" workbookViewId="0">
      <selection activeCell="G34" sqref="G34"/>
    </sheetView>
  </sheetViews>
  <sheetFormatPr defaultColWidth="8.6328125" defaultRowHeight="13" x14ac:dyDescent="0.3"/>
  <cols>
    <col min="1" max="1" width="8.6328125" style="95"/>
    <col min="2" max="2" width="13.6328125" style="95" customWidth="1"/>
    <col min="3" max="3" width="14" style="95" customWidth="1"/>
    <col min="4" max="4" width="10.54296875" style="95" customWidth="1"/>
    <col min="5" max="5" width="12.36328125" style="95" customWidth="1"/>
    <col min="6" max="6" width="13.36328125" style="95" customWidth="1"/>
    <col min="7" max="9" width="10" style="95" customWidth="1"/>
    <col min="10" max="11" width="11.453125" style="95" customWidth="1"/>
    <col min="12" max="12" width="14.54296875" style="95" customWidth="1"/>
    <col min="13" max="13" width="11.453125" style="95" customWidth="1"/>
    <col min="14" max="14" width="10" style="95" customWidth="1"/>
    <col min="15" max="16384" width="8.6328125" style="95"/>
  </cols>
  <sheetData>
    <row r="2" spans="2:15" ht="14" x14ac:dyDescent="0.3">
      <c r="B2" s="1468" t="str">
        <f>Index!B2</f>
        <v xml:space="preserve">      Maharashtra State Power Generation Company Ltd.</v>
      </c>
      <c r="C2" s="1468"/>
      <c r="D2" s="1468"/>
      <c r="E2" s="1468"/>
      <c r="F2" s="1468"/>
      <c r="G2" s="1468"/>
      <c r="H2" s="1468"/>
      <c r="I2" s="1468"/>
      <c r="J2" s="1468"/>
      <c r="K2" s="1468"/>
      <c r="L2" s="1468"/>
      <c r="M2" s="1468"/>
      <c r="N2" s="1468"/>
    </row>
    <row r="3" spans="2:15" ht="14" x14ac:dyDescent="0.3">
      <c r="B3" s="1468" t="str">
        <f>Index!B3</f>
        <v>MYT Petition Formats for SHP Hydro</v>
      </c>
      <c r="C3" s="1468"/>
      <c r="D3" s="1468"/>
      <c r="E3" s="1468"/>
      <c r="F3" s="1468"/>
      <c r="G3" s="1468"/>
      <c r="H3" s="1468"/>
      <c r="I3" s="1468"/>
      <c r="J3" s="1468"/>
      <c r="K3" s="1468"/>
      <c r="L3" s="1468"/>
      <c r="M3" s="1468"/>
      <c r="N3" s="1468"/>
    </row>
    <row r="4" spans="2:15" ht="14" x14ac:dyDescent="0.3">
      <c r="B4" s="1684" t="s">
        <v>428</v>
      </c>
      <c r="C4" s="1684"/>
      <c r="D4" s="1684"/>
      <c r="E4" s="1684"/>
      <c r="F4" s="1684"/>
      <c r="G4" s="1684"/>
      <c r="H4" s="1684"/>
      <c r="I4" s="1684"/>
      <c r="J4" s="1684"/>
      <c r="K4" s="1684"/>
      <c r="L4" s="1684"/>
      <c r="M4" s="1684"/>
      <c r="N4" s="1684"/>
    </row>
    <row r="5" spans="2:15" ht="14" x14ac:dyDescent="0.3">
      <c r="B5" s="89"/>
      <c r="C5" s="89"/>
      <c r="D5" s="89"/>
      <c r="E5" s="89"/>
      <c r="F5" s="89"/>
      <c r="G5" s="89"/>
      <c r="H5" s="89"/>
      <c r="I5" s="89"/>
      <c r="J5" s="89"/>
      <c r="K5" s="618"/>
      <c r="L5" s="89"/>
      <c r="M5" s="89"/>
      <c r="N5" s="89"/>
    </row>
    <row r="6" spans="2:15" ht="14" x14ac:dyDescent="0.3">
      <c r="B6" s="89"/>
      <c r="C6" s="89"/>
      <c r="D6" s="89"/>
      <c r="E6" s="89"/>
      <c r="F6" s="89"/>
      <c r="G6" s="89"/>
      <c r="H6" s="89"/>
      <c r="I6" s="89"/>
      <c r="J6" s="89"/>
      <c r="K6" s="89"/>
      <c r="L6" s="89"/>
      <c r="M6" s="89"/>
      <c r="N6" s="89"/>
    </row>
    <row r="7" spans="2:15" ht="14" x14ac:dyDescent="0.3">
      <c r="B7" s="65" t="s">
        <v>972</v>
      </c>
      <c r="N7" s="117"/>
    </row>
    <row r="8" spans="2:15" ht="14" x14ac:dyDescent="0.3">
      <c r="B8" s="65"/>
      <c r="N8" s="117" t="s">
        <v>10</v>
      </c>
    </row>
    <row r="9" spans="2:15" s="118" customFormat="1" ht="33" customHeight="1" x14ac:dyDescent="0.25">
      <c r="B9" s="1681" t="s">
        <v>278</v>
      </c>
      <c r="C9" s="1523" t="s">
        <v>294</v>
      </c>
      <c r="D9" s="1523"/>
      <c r="E9" s="1523"/>
      <c r="F9" s="1523"/>
      <c r="G9" s="1521" t="s">
        <v>295</v>
      </c>
      <c r="H9" s="1521"/>
      <c r="I9" s="1521"/>
      <c r="J9" s="1682" t="s">
        <v>296</v>
      </c>
      <c r="K9" s="1682"/>
      <c r="L9" s="1682"/>
      <c r="M9" s="1682"/>
      <c r="N9" s="1682"/>
    </row>
    <row r="10" spans="2:15" ht="72" customHeight="1" x14ac:dyDescent="0.3">
      <c r="B10" s="1681"/>
      <c r="C10" s="349" t="s">
        <v>350</v>
      </c>
      <c r="D10" s="349" t="s">
        <v>348</v>
      </c>
      <c r="E10" s="619" t="s">
        <v>775</v>
      </c>
      <c r="F10" s="349" t="s">
        <v>349</v>
      </c>
      <c r="G10" s="349" t="s">
        <v>297</v>
      </c>
      <c r="H10" s="349" t="s">
        <v>776</v>
      </c>
      <c r="I10" s="349" t="s">
        <v>298</v>
      </c>
      <c r="J10" s="349" t="s">
        <v>299</v>
      </c>
      <c r="K10" s="349" t="s">
        <v>300</v>
      </c>
      <c r="L10" s="619" t="s">
        <v>777</v>
      </c>
      <c r="M10" s="349" t="s">
        <v>778</v>
      </c>
      <c r="N10" s="350" t="s">
        <v>271</v>
      </c>
    </row>
    <row r="11" spans="2:15" ht="14.25" customHeight="1" x14ac:dyDescent="0.3">
      <c r="B11" s="112"/>
      <c r="C11" s="113"/>
      <c r="D11" s="113"/>
      <c r="E11" s="113"/>
      <c r="F11" s="113"/>
      <c r="G11" s="113"/>
      <c r="H11" s="113"/>
      <c r="I11" s="113"/>
      <c r="J11" s="113"/>
      <c r="K11" s="113"/>
      <c r="L11" s="113"/>
      <c r="M11" s="113"/>
      <c r="N11" s="114"/>
    </row>
    <row r="12" spans="2:15" ht="14.25" customHeight="1" x14ac:dyDescent="0.3">
      <c r="B12" s="154" t="s">
        <v>811</v>
      </c>
      <c r="C12" s="377">
        <f>'F9'!C30</f>
        <v>71.130812500000005</v>
      </c>
      <c r="D12" s="520">
        <f>C12*0.5/('F2.5'!N15*(1-'F2.5'!N17))*10</f>
        <v>0.66425720071823724</v>
      </c>
      <c r="E12" s="615">
        <f>'F9'!E30</f>
        <v>0</v>
      </c>
      <c r="F12" s="115"/>
      <c r="G12" s="377">
        <f>'F9'!G30</f>
        <v>307.40668020000004</v>
      </c>
      <c r="H12" s="441"/>
      <c r="I12" s="115"/>
      <c r="J12" s="378">
        <f>(C12)*0.5</f>
        <v>35.565406250000002</v>
      </c>
      <c r="K12" s="378">
        <f>(C12)*0.5</f>
        <v>35.565406250000002</v>
      </c>
      <c r="L12" s="378">
        <f>'F10'!$M$12</f>
        <v>0</v>
      </c>
      <c r="M12" s="115"/>
      <c r="N12" s="376">
        <f>SUM(J12:M12)</f>
        <v>71.130812500000005</v>
      </c>
    </row>
    <row r="13" spans="2:15" ht="14.25" customHeight="1" x14ac:dyDescent="0.3">
      <c r="B13" s="109"/>
      <c r="C13" s="115"/>
      <c r="D13" s="115"/>
      <c r="E13" s="115"/>
      <c r="F13" s="115"/>
      <c r="G13" s="115"/>
      <c r="H13" s="115"/>
      <c r="I13" s="115"/>
      <c r="J13" s="115"/>
      <c r="K13" s="115"/>
      <c r="L13" s="115"/>
      <c r="M13" s="115"/>
      <c r="N13" s="376">
        <f t="shared" ref="N13" si="0">SUM(J13:M13)</f>
        <v>0</v>
      </c>
    </row>
    <row r="14" spans="2:15" ht="14" x14ac:dyDescent="0.3">
      <c r="B14" s="109" t="s">
        <v>271</v>
      </c>
      <c r="C14" s="379"/>
      <c r="D14" s="379"/>
      <c r="E14" s="379"/>
      <c r="F14" s="379"/>
      <c r="G14" s="379">
        <f>SUM(G12:G13)</f>
        <v>307.40668020000004</v>
      </c>
      <c r="H14" s="379"/>
      <c r="I14" s="379"/>
      <c r="J14" s="379">
        <f>SUM(J12:J13)</f>
        <v>35.565406250000002</v>
      </c>
      <c r="K14" s="379">
        <f>SUM(K12:K13)</f>
        <v>35.565406250000002</v>
      </c>
      <c r="L14" s="379">
        <f>SUM(L12:L13)</f>
        <v>0</v>
      </c>
      <c r="M14" s="379">
        <f>SUM(M12:M13)</f>
        <v>0</v>
      </c>
      <c r="N14" s="379">
        <f>SUM(N12:N13)</f>
        <v>71.130812500000005</v>
      </c>
      <c r="O14" s="380"/>
    </row>
    <row r="17" spans="2:14" ht="2.75" customHeight="1" x14ac:dyDescent="0.3"/>
    <row r="18" spans="2:14" ht="14" x14ac:dyDescent="0.3">
      <c r="B18" s="65" t="s">
        <v>974</v>
      </c>
    </row>
    <row r="19" spans="2:14" ht="14" x14ac:dyDescent="0.3">
      <c r="B19" s="65"/>
      <c r="N19" s="117" t="s">
        <v>10</v>
      </c>
    </row>
    <row r="20" spans="2:14" ht="13.25" customHeight="1" x14ac:dyDescent="0.3">
      <c r="B20" s="1681" t="s">
        <v>278</v>
      </c>
      <c r="C20" s="1523" t="s">
        <v>294</v>
      </c>
      <c r="D20" s="1523"/>
      <c r="E20" s="1523"/>
      <c r="F20" s="1523"/>
      <c r="G20" s="1521" t="s">
        <v>295</v>
      </c>
      <c r="H20" s="1521"/>
      <c r="I20" s="1521"/>
      <c r="J20" s="1682" t="s">
        <v>296</v>
      </c>
      <c r="K20" s="1682"/>
      <c r="L20" s="1682"/>
      <c r="M20" s="1682"/>
      <c r="N20" s="1682"/>
    </row>
    <row r="21" spans="2:14" ht="69" customHeight="1" x14ac:dyDescent="0.3">
      <c r="B21" s="1681"/>
      <c r="C21" s="349" t="s">
        <v>350</v>
      </c>
      <c r="D21" s="349" t="s">
        <v>348</v>
      </c>
      <c r="E21" s="619" t="s">
        <v>775</v>
      </c>
      <c r="F21" s="349" t="s">
        <v>349</v>
      </c>
      <c r="G21" s="349" t="s">
        <v>297</v>
      </c>
      <c r="H21" s="349" t="s">
        <v>776</v>
      </c>
      <c r="I21" s="349" t="s">
        <v>298</v>
      </c>
      <c r="J21" s="349" t="s">
        <v>299</v>
      </c>
      <c r="K21" s="349" t="s">
        <v>300</v>
      </c>
      <c r="L21" s="619" t="s">
        <v>777</v>
      </c>
      <c r="M21" s="349" t="s">
        <v>778</v>
      </c>
      <c r="N21" s="350" t="s">
        <v>271</v>
      </c>
    </row>
    <row r="22" spans="2:14" x14ac:dyDescent="0.3">
      <c r="B22" s="112"/>
      <c r="C22" s="113"/>
      <c r="D22" s="113"/>
      <c r="E22" s="113"/>
      <c r="F22" s="113"/>
      <c r="G22" s="113"/>
      <c r="H22" s="113"/>
      <c r="I22" s="113"/>
      <c r="J22" s="113"/>
      <c r="K22" s="113"/>
      <c r="L22" s="113"/>
      <c r="M22" s="113"/>
      <c r="N22" s="114"/>
    </row>
    <row r="23" spans="2:14" ht="14" x14ac:dyDescent="0.3">
      <c r="B23" s="154" t="s">
        <v>811</v>
      </c>
      <c r="C23" s="377">
        <f ca="1">'F1.1'!$L8-E23</f>
        <v>435.21682475230824</v>
      </c>
      <c r="D23" s="520">
        <f ca="1">C23*0.5/('F2.5'!P15*(1-'F2.5'!P17))*10</f>
        <v>2.0120030609386292</v>
      </c>
      <c r="E23" s="615">
        <f>'F10'!O12</f>
        <v>0</v>
      </c>
      <c r="F23" s="74"/>
      <c r="G23" s="945">
        <f>'F2.5'!P15*(1-'F2.5'!P17)</f>
        <v>1081.5510999999999</v>
      </c>
      <c r="H23" s="617"/>
      <c r="I23" s="74"/>
      <c r="J23" s="616">
        <f ca="1">(C23)*0.5</f>
        <v>217.60841237615412</v>
      </c>
      <c r="K23" s="616">
        <f ca="1">(C23)*0.5</f>
        <v>217.60841237615412</v>
      </c>
      <c r="L23" s="616">
        <f>'F10'!O12</f>
        <v>0</v>
      </c>
      <c r="M23" s="614">
        <f>F23*$G23/10</f>
        <v>0</v>
      </c>
      <c r="N23" s="376">
        <f ca="1">SUM(J23:M23)</f>
        <v>435.21682475230824</v>
      </c>
    </row>
    <row r="24" spans="2:14" ht="14" x14ac:dyDescent="0.3">
      <c r="B24" s="109"/>
      <c r="C24" s="115"/>
      <c r="D24" s="115"/>
      <c r="E24" s="115"/>
      <c r="F24" s="115"/>
      <c r="G24" s="115"/>
      <c r="H24" s="115"/>
      <c r="I24" s="115"/>
      <c r="J24" s="115"/>
      <c r="K24" s="115"/>
      <c r="L24" s="115"/>
      <c r="M24" s="115"/>
      <c r="N24" s="376">
        <f t="shared" ref="N24" si="1">SUM(J24:M24)</f>
        <v>0</v>
      </c>
    </row>
    <row r="25" spans="2:14" ht="14" x14ac:dyDescent="0.3">
      <c r="B25" s="109" t="s">
        <v>271</v>
      </c>
      <c r="C25" s="379"/>
      <c r="D25" s="379"/>
      <c r="E25" s="379"/>
      <c r="F25" s="379"/>
      <c r="G25" s="379">
        <f>SUM(G23:G24)</f>
        <v>1081.5510999999999</v>
      </c>
      <c r="H25" s="379"/>
      <c r="I25" s="379"/>
      <c r="J25" s="379">
        <f ca="1">SUM(J23:J24)</f>
        <v>217.60841237615412</v>
      </c>
      <c r="K25" s="379">
        <f ca="1">SUM(K23:K24)</f>
        <v>217.60841237615412</v>
      </c>
      <c r="L25" s="379">
        <f>SUM(L23:L24)</f>
        <v>0</v>
      </c>
      <c r="M25" s="379">
        <f>SUM(M23:M24)</f>
        <v>0</v>
      </c>
      <c r="N25" s="379">
        <f ca="1">SUM(N23:N24)</f>
        <v>435.21682475230824</v>
      </c>
    </row>
    <row r="29" spans="2:14" ht="14" x14ac:dyDescent="0.3">
      <c r="B29" s="65" t="s">
        <v>973</v>
      </c>
    </row>
    <row r="30" spans="2:14" ht="14" x14ac:dyDescent="0.3">
      <c r="B30" s="65"/>
      <c r="N30" s="117" t="s">
        <v>10</v>
      </c>
    </row>
    <row r="31" spans="2:14" ht="29.75" customHeight="1" x14ac:dyDescent="0.3">
      <c r="B31" s="1681" t="s">
        <v>278</v>
      </c>
      <c r="C31" s="1523" t="s">
        <v>294</v>
      </c>
      <c r="D31" s="1523"/>
      <c r="E31" s="1523"/>
      <c r="F31" s="1523"/>
      <c r="G31" s="1521" t="s">
        <v>295</v>
      </c>
      <c r="H31" s="1521"/>
      <c r="I31" s="1521"/>
      <c r="J31" s="1682" t="s">
        <v>296</v>
      </c>
      <c r="K31" s="1682"/>
      <c r="L31" s="1682"/>
      <c r="M31" s="1682"/>
      <c r="N31" s="1682"/>
    </row>
    <row r="32" spans="2:14" ht="65.25" customHeight="1" x14ac:dyDescent="0.3">
      <c r="B32" s="1681"/>
      <c r="C32" s="349" t="s">
        <v>350</v>
      </c>
      <c r="D32" s="349" t="s">
        <v>348</v>
      </c>
      <c r="E32" s="619" t="s">
        <v>775</v>
      </c>
      <c r="F32" s="349" t="s">
        <v>349</v>
      </c>
      <c r="G32" s="349" t="s">
        <v>297</v>
      </c>
      <c r="H32" s="349" t="s">
        <v>776</v>
      </c>
      <c r="I32" s="349" t="s">
        <v>298</v>
      </c>
      <c r="J32" s="349" t="s">
        <v>299</v>
      </c>
      <c r="K32" s="349" t="s">
        <v>300</v>
      </c>
      <c r="L32" s="619" t="s">
        <v>777</v>
      </c>
      <c r="M32" s="349" t="s">
        <v>778</v>
      </c>
      <c r="N32" s="350" t="s">
        <v>271</v>
      </c>
    </row>
    <row r="33" spans="2:14" x14ac:dyDescent="0.3">
      <c r="B33" s="112"/>
      <c r="C33" s="113"/>
      <c r="D33" s="113"/>
      <c r="E33" s="113"/>
      <c r="F33" s="113"/>
      <c r="G33" s="113"/>
      <c r="H33" s="113"/>
      <c r="I33" s="113"/>
      <c r="J33" s="113"/>
      <c r="K33" s="113"/>
      <c r="L33" s="113"/>
      <c r="M33" s="113"/>
      <c r="N33" s="114"/>
    </row>
    <row r="34" spans="2:14" ht="14" x14ac:dyDescent="0.3">
      <c r="B34" s="154" t="s">
        <v>811</v>
      </c>
      <c r="C34" s="377">
        <f ca="1">'F1.1'!$M8-E34</f>
        <v>460.44455964668657</v>
      </c>
      <c r="D34" s="520">
        <f ca="1">C34*0.5/('F2.5'!Q15*(1-'F2.5'!Q17))*10</f>
        <v>2.1286306289489541</v>
      </c>
      <c r="E34" s="615">
        <f>'F10'!P12</f>
        <v>0</v>
      </c>
      <c r="F34" s="115"/>
      <c r="G34" s="378">
        <f>'F2.5'!Q15*(1-'F2.5'!Q17)</f>
        <v>1081.5510999999999</v>
      </c>
      <c r="H34" s="441"/>
      <c r="I34" s="115"/>
      <c r="J34" s="377">
        <f ca="1">C34*0.5</f>
        <v>230.22227982334329</v>
      </c>
      <c r="K34" s="376">
        <f ca="1">C34*0.5</f>
        <v>230.22227982334329</v>
      </c>
      <c r="L34" s="616">
        <f>'F10'!P12</f>
        <v>0</v>
      </c>
      <c r="M34" s="614">
        <f>F34*$G34/10</f>
        <v>0</v>
      </c>
      <c r="N34" s="376">
        <f ca="1">SUM(J34:M34)</f>
        <v>460.44455964668657</v>
      </c>
    </row>
    <row r="35" spans="2:14" ht="14" x14ac:dyDescent="0.3">
      <c r="B35" s="109"/>
      <c r="C35" s="115"/>
      <c r="D35" s="115"/>
      <c r="E35" s="115"/>
      <c r="F35" s="115"/>
      <c r="G35" s="115"/>
      <c r="H35" s="115"/>
      <c r="I35" s="115"/>
      <c r="J35" s="115"/>
      <c r="K35" s="115"/>
      <c r="L35" s="115"/>
      <c r="M35" s="115"/>
      <c r="N35" s="376">
        <f t="shared" ref="N35" si="2">SUM(J35:M35)</f>
        <v>0</v>
      </c>
    </row>
    <row r="36" spans="2:14" ht="14" x14ac:dyDescent="0.3">
      <c r="B36" s="109" t="s">
        <v>271</v>
      </c>
      <c r="C36" s="379"/>
      <c r="D36" s="379"/>
      <c r="E36" s="379"/>
      <c r="F36" s="379"/>
      <c r="G36" s="379">
        <f>SUM(G34:G35)</f>
        <v>1081.5510999999999</v>
      </c>
      <c r="H36" s="379"/>
      <c r="I36" s="379"/>
      <c r="J36" s="379">
        <f ca="1">SUM(J34:J35)</f>
        <v>230.22227982334329</v>
      </c>
      <c r="K36" s="379">
        <f ca="1">SUM(K34:K35)</f>
        <v>230.22227982334329</v>
      </c>
      <c r="L36" s="379">
        <f>SUM(L34:L35)</f>
        <v>0</v>
      </c>
      <c r="M36" s="379">
        <f>SUM(M34:M35)</f>
        <v>0</v>
      </c>
      <c r="N36" s="379">
        <f ca="1">SUM(N34:N35)</f>
        <v>460.44455964668657</v>
      </c>
    </row>
    <row r="37" spans="2:14" ht="14" x14ac:dyDescent="0.3">
      <c r="B37" s="274"/>
      <c r="C37" s="76"/>
      <c r="D37" s="76"/>
      <c r="E37" s="76"/>
      <c r="F37" s="76"/>
      <c r="G37" s="76"/>
      <c r="H37" s="76"/>
      <c r="I37" s="76"/>
      <c r="J37" s="76"/>
      <c r="K37" s="76"/>
      <c r="L37" s="76"/>
      <c r="M37" s="76"/>
      <c r="N37" s="76"/>
    </row>
    <row r="38" spans="2:14" ht="14" x14ac:dyDescent="0.3">
      <c r="B38" s="274"/>
      <c r="C38" s="76"/>
      <c r="D38" s="76"/>
      <c r="E38" s="76"/>
      <c r="F38" s="76"/>
      <c r="G38" s="76"/>
      <c r="H38" s="76"/>
      <c r="I38" s="76"/>
      <c r="J38" s="76"/>
      <c r="K38" s="76"/>
      <c r="L38" s="76"/>
      <c r="M38" s="76"/>
      <c r="N38" s="76"/>
    </row>
    <row r="40" spans="2:14" ht="14" x14ac:dyDescent="0.3">
      <c r="B40" s="65" t="s">
        <v>975</v>
      </c>
    </row>
    <row r="41" spans="2:14" ht="14" x14ac:dyDescent="0.3">
      <c r="B41" s="65"/>
      <c r="N41" s="117" t="s">
        <v>10</v>
      </c>
    </row>
    <row r="42" spans="2:14" ht="14" x14ac:dyDescent="0.3">
      <c r="B42" s="1681" t="s">
        <v>278</v>
      </c>
      <c r="C42" s="1523" t="s">
        <v>294</v>
      </c>
      <c r="D42" s="1523"/>
      <c r="E42" s="1523"/>
      <c r="F42" s="1523"/>
      <c r="G42" s="1521" t="s">
        <v>295</v>
      </c>
      <c r="H42" s="1521"/>
      <c r="I42" s="1521"/>
      <c r="J42" s="1682" t="s">
        <v>296</v>
      </c>
      <c r="K42" s="1682"/>
      <c r="L42" s="1682"/>
      <c r="M42" s="1682"/>
      <c r="N42" s="1682"/>
    </row>
    <row r="43" spans="2:14" ht="70" x14ac:dyDescent="0.3">
      <c r="B43" s="1681"/>
      <c r="C43" s="592" t="s">
        <v>350</v>
      </c>
      <c r="D43" s="592" t="s">
        <v>348</v>
      </c>
      <c r="E43" s="619" t="s">
        <v>775</v>
      </c>
      <c r="F43" s="592" t="s">
        <v>349</v>
      </c>
      <c r="G43" s="592" t="s">
        <v>297</v>
      </c>
      <c r="H43" s="592" t="s">
        <v>776</v>
      </c>
      <c r="I43" s="592" t="s">
        <v>298</v>
      </c>
      <c r="J43" s="592" t="s">
        <v>299</v>
      </c>
      <c r="K43" s="592" t="s">
        <v>300</v>
      </c>
      <c r="L43" s="619" t="s">
        <v>777</v>
      </c>
      <c r="M43" s="592" t="s">
        <v>778</v>
      </c>
      <c r="N43" s="593" t="s">
        <v>271</v>
      </c>
    </row>
    <row r="44" spans="2:14" x14ac:dyDescent="0.3">
      <c r="B44" s="112"/>
      <c r="C44" s="113"/>
      <c r="D44" s="113"/>
      <c r="E44" s="113"/>
      <c r="F44" s="113"/>
      <c r="G44" s="113"/>
      <c r="H44" s="113"/>
      <c r="I44" s="113"/>
      <c r="J44" s="113"/>
      <c r="K44" s="113"/>
      <c r="L44" s="113"/>
      <c r="M44" s="113"/>
      <c r="N44" s="114"/>
    </row>
    <row r="45" spans="2:14" ht="14" x14ac:dyDescent="0.3">
      <c r="B45" s="154" t="s">
        <v>811</v>
      </c>
      <c r="C45" s="377">
        <f ca="1">'F1.1'!$N8-E45</f>
        <v>482.39443726183669</v>
      </c>
      <c r="D45" s="520">
        <f ca="1">C45*0.5/('F2.5'!R15*(1-'F2.5'!R17))*10</f>
        <v>2.230104695292884</v>
      </c>
      <c r="E45" s="615">
        <f>'F10'!Q12</f>
        <v>0</v>
      </c>
      <c r="F45" s="74"/>
      <c r="G45" s="616">
        <f>'F2.5'!R15*(1-'F2.5'!SR17)</f>
        <v>1081.5510999999999</v>
      </c>
      <c r="H45" s="617"/>
      <c r="I45" s="74"/>
      <c r="J45" s="615">
        <f ca="1">C45*0.5</f>
        <v>241.19721863091834</v>
      </c>
      <c r="K45" s="379">
        <f ca="1">C45*0.5</f>
        <v>241.19721863091834</v>
      </c>
      <c r="L45" s="616">
        <f>'F10'!Q12</f>
        <v>0</v>
      </c>
      <c r="M45" s="378">
        <f>F45*$G45/10</f>
        <v>0</v>
      </c>
      <c r="N45" s="376">
        <f ca="1">SUM(J45:M45)</f>
        <v>482.39443726183669</v>
      </c>
    </row>
    <row r="46" spans="2:14" ht="14" x14ac:dyDescent="0.3">
      <c r="B46" s="109"/>
      <c r="C46" s="115"/>
      <c r="D46" s="115"/>
      <c r="E46" s="115"/>
      <c r="F46" s="115"/>
      <c r="G46" s="115"/>
      <c r="H46" s="115"/>
      <c r="I46" s="115"/>
      <c r="J46" s="115"/>
      <c r="K46" s="115"/>
      <c r="L46" s="115"/>
      <c r="M46" s="115"/>
      <c r="N46" s="376">
        <f t="shared" ref="N46" si="3">SUM(J46:M46)</f>
        <v>0</v>
      </c>
    </row>
    <row r="47" spans="2:14" ht="14" x14ac:dyDescent="0.3">
      <c r="B47" s="109" t="s">
        <v>271</v>
      </c>
      <c r="C47" s="379"/>
      <c r="D47" s="379"/>
      <c r="E47" s="379"/>
      <c r="F47" s="379"/>
      <c r="G47" s="379">
        <f>SUM(G45:G46)</f>
        <v>1081.5510999999999</v>
      </c>
      <c r="H47" s="379"/>
      <c r="I47" s="379"/>
      <c r="J47" s="379">
        <f ca="1">SUM(J45:J46)</f>
        <v>241.19721863091834</v>
      </c>
      <c r="K47" s="379">
        <f ca="1">SUM(K45:K46)</f>
        <v>241.19721863091834</v>
      </c>
      <c r="L47" s="379">
        <f>SUM(L45:L46)</f>
        <v>0</v>
      </c>
      <c r="M47" s="379">
        <f>SUM(M45:M46)</f>
        <v>0</v>
      </c>
      <c r="N47" s="379">
        <f ca="1">SUM(N45:N46)</f>
        <v>482.39443726183669</v>
      </c>
    </row>
    <row r="51" spans="2:14" ht="14" x14ac:dyDescent="0.3">
      <c r="B51" s="65" t="s">
        <v>976</v>
      </c>
    </row>
    <row r="52" spans="2:14" ht="14" x14ac:dyDescent="0.3">
      <c r="B52" s="65"/>
      <c r="N52" s="117" t="s">
        <v>10</v>
      </c>
    </row>
    <row r="53" spans="2:14" ht="14" x14ac:dyDescent="0.3">
      <c r="B53" s="1681" t="s">
        <v>278</v>
      </c>
      <c r="C53" s="1523" t="s">
        <v>294</v>
      </c>
      <c r="D53" s="1523"/>
      <c r="E53" s="1523"/>
      <c r="F53" s="1523"/>
      <c r="G53" s="1521" t="s">
        <v>295</v>
      </c>
      <c r="H53" s="1521"/>
      <c r="I53" s="1521"/>
      <c r="J53" s="1682" t="s">
        <v>296</v>
      </c>
      <c r="K53" s="1682"/>
      <c r="L53" s="1682"/>
      <c r="M53" s="1682"/>
      <c r="N53" s="1682"/>
    </row>
    <row r="54" spans="2:14" ht="70" x14ac:dyDescent="0.3">
      <c r="B54" s="1681"/>
      <c r="C54" s="592" t="s">
        <v>350</v>
      </c>
      <c r="D54" s="592" t="s">
        <v>348</v>
      </c>
      <c r="E54" s="619" t="s">
        <v>775</v>
      </c>
      <c r="F54" s="592" t="s">
        <v>349</v>
      </c>
      <c r="G54" s="592" t="s">
        <v>297</v>
      </c>
      <c r="H54" s="592" t="s">
        <v>776</v>
      </c>
      <c r="I54" s="592" t="s">
        <v>298</v>
      </c>
      <c r="J54" s="592" t="s">
        <v>299</v>
      </c>
      <c r="K54" s="592" t="s">
        <v>300</v>
      </c>
      <c r="L54" s="619" t="s">
        <v>777</v>
      </c>
      <c r="M54" s="592" t="s">
        <v>778</v>
      </c>
      <c r="N54" s="593" t="s">
        <v>271</v>
      </c>
    </row>
    <row r="55" spans="2:14" x14ac:dyDescent="0.3">
      <c r="B55" s="112"/>
      <c r="C55" s="113"/>
      <c r="D55" s="113"/>
      <c r="E55" s="113"/>
      <c r="F55" s="113"/>
      <c r="G55" s="113"/>
      <c r="H55" s="113"/>
      <c r="I55" s="113"/>
      <c r="J55" s="113"/>
      <c r="K55" s="113"/>
      <c r="L55" s="113"/>
      <c r="M55" s="113"/>
      <c r="N55" s="114"/>
    </row>
    <row r="56" spans="2:14" ht="14" x14ac:dyDescent="0.3">
      <c r="B56" s="154" t="s">
        <v>811</v>
      </c>
      <c r="C56" s="377">
        <f ca="1">'F1.1'!$O8-E56</f>
        <v>482.28172865085025</v>
      </c>
      <c r="D56" s="520">
        <f ca="1">C56*0.5/('F2.5'!S15*(1-'F2.5'!S17))*10</f>
        <v>2.229583644503021</v>
      </c>
      <c r="E56" s="615">
        <f>'F10'!R12</f>
        <v>0</v>
      </c>
      <c r="F56" s="115"/>
      <c r="G56" s="378">
        <f>'F2.5'!S15*(1-'F2.5'!S17)</f>
        <v>1081.5510999999999</v>
      </c>
      <c r="H56" s="441"/>
      <c r="I56" s="115"/>
      <c r="J56" s="377">
        <f ca="1">C56*0.5</f>
        <v>241.14086432542513</v>
      </c>
      <c r="K56" s="376">
        <f ca="1">C56*0.5</f>
        <v>241.14086432542513</v>
      </c>
      <c r="L56" s="616">
        <f>'F10'!R12</f>
        <v>0</v>
      </c>
      <c r="M56" s="115">
        <f t="shared" ref="M56" si="4">F56*$G56/10</f>
        <v>0</v>
      </c>
      <c r="N56" s="376">
        <f ca="1">SUM(J56:M56)</f>
        <v>482.28172865085025</v>
      </c>
    </row>
    <row r="57" spans="2:14" ht="14" x14ac:dyDescent="0.3">
      <c r="B57" s="109"/>
      <c r="C57" s="115"/>
      <c r="D57" s="115"/>
      <c r="E57" s="115"/>
      <c r="F57" s="115"/>
      <c r="G57" s="115"/>
      <c r="H57" s="115"/>
      <c r="I57" s="115"/>
      <c r="J57" s="115"/>
      <c r="K57" s="115"/>
      <c r="L57" s="115"/>
      <c r="M57" s="115"/>
      <c r="N57" s="376">
        <f t="shared" ref="N57" si="5">SUM(J57:M57)</f>
        <v>0</v>
      </c>
    </row>
    <row r="58" spans="2:14" ht="14" x14ac:dyDescent="0.3">
      <c r="B58" s="109" t="s">
        <v>271</v>
      </c>
      <c r="C58" s="379"/>
      <c r="D58" s="379"/>
      <c r="E58" s="379"/>
      <c r="F58" s="379"/>
      <c r="G58" s="379">
        <f>SUM(G56:G57)</f>
        <v>1081.5510999999999</v>
      </c>
      <c r="H58" s="379"/>
      <c r="I58" s="379"/>
      <c r="J58" s="379">
        <f ca="1">SUM(J56:J57)</f>
        <v>241.14086432542513</v>
      </c>
      <c r="K58" s="379">
        <f ca="1">SUM(K56:K57)</f>
        <v>241.14086432542513</v>
      </c>
      <c r="L58" s="379">
        <f>SUM(L56:L57)</f>
        <v>0</v>
      </c>
      <c r="M58" s="379">
        <f>SUM(M56:M57)</f>
        <v>0</v>
      </c>
      <c r="N58" s="379">
        <f ca="1">SUM(N56:N57)</f>
        <v>482.28172865085025</v>
      </c>
    </row>
    <row r="62" spans="2:14" ht="14" x14ac:dyDescent="0.3">
      <c r="B62" s="65" t="s">
        <v>977</v>
      </c>
    </row>
    <row r="63" spans="2:14" ht="14" x14ac:dyDescent="0.3">
      <c r="B63" s="65"/>
      <c r="N63" s="117" t="s">
        <v>10</v>
      </c>
    </row>
    <row r="64" spans="2:14" ht="14" x14ac:dyDescent="0.3">
      <c r="B64" s="1681" t="s">
        <v>278</v>
      </c>
      <c r="C64" s="1523" t="s">
        <v>294</v>
      </c>
      <c r="D64" s="1523"/>
      <c r="E64" s="1523"/>
      <c r="F64" s="1523"/>
      <c r="G64" s="1521" t="s">
        <v>295</v>
      </c>
      <c r="H64" s="1521"/>
      <c r="I64" s="1521"/>
      <c r="J64" s="1682" t="s">
        <v>296</v>
      </c>
      <c r="K64" s="1682"/>
      <c r="L64" s="1682"/>
      <c r="M64" s="1682"/>
      <c r="N64" s="1682"/>
    </row>
    <row r="65" spans="2:14" ht="70" x14ac:dyDescent="0.3">
      <c r="B65" s="1681"/>
      <c r="C65" s="592" t="s">
        <v>350</v>
      </c>
      <c r="D65" s="592" t="s">
        <v>348</v>
      </c>
      <c r="E65" s="619" t="s">
        <v>775</v>
      </c>
      <c r="F65" s="592" t="s">
        <v>349</v>
      </c>
      <c r="G65" s="592" t="s">
        <v>297</v>
      </c>
      <c r="H65" s="592" t="s">
        <v>776</v>
      </c>
      <c r="I65" s="592" t="s">
        <v>298</v>
      </c>
      <c r="J65" s="592" t="s">
        <v>299</v>
      </c>
      <c r="K65" s="592" t="s">
        <v>300</v>
      </c>
      <c r="L65" s="619" t="s">
        <v>777</v>
      </c>
      <c r="M65" s="592" t="s">
        <v>778</v>
      </c>
      <c r="N65" s="593" t="s">
        <v>271</v>
      </c>
    </row>
    <row r="66" spans="2:14" x14ac:dyDescent="0.3">
      <c r="B66" s="112"/>
      <c r="C66" s="113"/>
      <c r="D66" s="113"/>
      <c r="E66" s="113"/>
      <c r="F66" s="113"/>
      <c r="G66" s="113"/>
      <c r="H66" s="113"/>
      <c r="I66" s="113"/>
      <c r="J66" s="113"/>
      <c r="K66" s="113"/>
      <c r="L66" s="113"/>
      <c r="M66" s="113"/>
      <c r="N66" s="114"/>
    </row>
    <row r="67" spans="2:14" ht="14" x14ac:dyDescent="0.3">
      <c r="B67" s="154" t="s">
        <v>811</v>
      </c>
      <c r="C67" s="377">
        <f ca="1">'F1.1'!$P8-E67</f>
        <v>491.68115405262682</v>
      </c>
      <c r="D67" s="520">
        <f ca="1">C67*0.5/('F2.5'!T15*(1-'F2.5'!T17))*10</f>
        <v>2.2730370948382692</v>
      </c>
      <c r="E67" s="615">
        <f>'F10'!S12</f>
        <v>0</v>
      </c>
      <c r="F67" s="115"/>
      <c r="G67" s="378">
        <f>'F2.5'!T15*(1-'F2.5'!T17)</f>
        <v>1081.5510999999999</v>
      </c>
      <c r="H67" s="441"/>
      <c r="I67" s="115"/>
      <c r="J67" s="377">
        <f ca="1">C67*0.5</f>
        <v>245.84057702631341</v>
      </c>
      <c r="K67" s="376">
        <f ca="1">C67*0.5</f>
        <v>245.84057702631341</v>
      </c>
      <c r="L67" s="616">
        <f>'F10'!S12</f>
        <v>0</v>
      </c>
      <c r="M67" s="614">
        <f>F67*$G67/10</f>
        <v>0</v>
      </c>
      <c r="N67" s="376">
        <f ca="1">SUM(J67:M67)</f>
        <v>491.68115405262682</v>
      </c>
    </row>
    <row r="68" spans="2:14" ht="14" x14ac:dyDescent="0.3">
      <c r="B68" s="109"/>
      <c r="C68" s="115"/>
      <c r="D68" s="115"/>
      <c r="E68" s="115"/>
      <c r="F68" s="115"/>
      <c r="G68" s="115"/>
      <c r="H68" s="115"/>
      <c r="I68" s="115"/>
      <c r="J68" s="115"/>
      <c r="K68" s="115"/>
      <c r="L68" s="115"/>
      <c r="M68" s="115"/>
      <c r="N68" s="376">
        <f t="shared" ref="N68" si="6">SUM(J68:M68)</f>
        <v>0</v>
      </c>
    </row>
    <row r="69" spans="2:14" ht="14" x14ac:dyDescent="0.3">
      <c r="B69" s="109" t="s">
        <v>271</v>
      </c>
      <c r="C69" s="379"/>
      <c r="D69" s="379"/>
      <c r="E69" s="379"/>
      <c r="F69" s="379"/>
      <c r="G69" s="379">
        <f>SUM(G67:G68)</f>
        <v>1081.5510999999999</v>
      </c>
      <c r="H69" s="379"/>
      <c r="I69" s="379"/>
      <c r="J69" s="379">
        <f ca="1">SUM(J67:J68)</f>
        <v>245.84057702631341</v>
      </c>
      <c r="K69" s="379">
        <f ca="1">SUM(K67:K68)</f>
        <v>245.84057702631341</v>
      </c>
      <c r="L69" s="379">
        <f>SUM(L67:L68)</f>
        <v>0</v>
      </c>
      <c r="M69" s="379">
        <f>SUM(M67:M68)</f>
        <v>0</v>
      </c>
      <c r="N69" s="379">
        <f ca="1">SUM(N67:N68)</f>
        <v>491.68115405262682</v>
      </c>
    </row>
  </sheetData>
  <mergeCells count="27">
    <mergeCell ref="B64:B65"/>
    <mergeCell ref="C64:F64"/>
    <mergeCell ref="G64:I64"/>
    <mergeCell ref="J64:N64"/>
    <mergeCell ref="B42:B43"/>
    <mergeCell ref="C42:F42"/>
    <mergeCell ref="G42:I42"/>
    <mergeCell ref="J42:N42"/>
    <mergeCell ref="B53:B54"/>
    <mergeCell ref="C53:F53"/>
    <mergeCell ref="G53:I53"/>
    <mergeCell ref="J53:N53"/>
    <mergeCell ref="B2:N2"/>
    <mergeCell ref="B3:N3"/>
    <mergeCell ref="B4:N4"/>
    <mergeCell ref="B9:B10"/>
    <mergeCell ref="C9:F9"/>
    <mergeCell ref="G9:I9"/>
    <mergeCell ref="J9:N9"/>
    <mergeCell ref="B20:B21"/>
    <mergeCell ref="C20:F20"/>
    <mergeCell ref="G20:I20"/>
    <mergeCell ref="J20:N20"/>
    <mergeCell ref="B31:B32"/>
    <mergeCell ref="C31:F31"/>
    <mergeCell ref="G31:I31"/>
    <mergeCell ref="J31:N31"/>
  </mergeCells>
  <pageMargins left="0.70866141732283472" right="0.70866141732283472" top="0.74803149606299213" bottom="0.74803149606299213" header="0.31496062992125984" footer="0.31496062992125984"/>
  <pageSetup paperSize="9" scale="3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N58"/>
  <sheetViews>
    <sheetView showGridLines="0" view="pageBreakPreview" zoomScale="80" zoomScaleNormal="80" zoomScaleSheetLayoutView="80" workbookViewId="0">
      <selection activeCell="J61" sqref="J61"/>
    </sheetView>
  </sheetViews>
  <sheetFormatPr defaultColWidth="8.6328125" defaultRowHeight="14" x14ac:dyDescent="0.3"/>
  <cols>
    <col min="1" max="1" width="8.6328125" style="275"/>
    <col min="2" max="2" width="13.453125" style="275" customWidth="1"/>
    <col min="3" max="11" width="12.36328125" style="275" customWidth="1"/>
    <col min="12" max="12" width="14.6328125" style="275" customWidth="1"/>
    <col min="13" max="14" width="12.36328125" style="275" customWidth="1"/>
    <col min="15" max="16384" width="8.6328125" style="275"/>
  </cols>
  <sheetData>
    <row r="2" spans="2:14" x14ac:dyDescent="0.3">
      <c r="B2" s="1468" t="str">
        <f>Index!B2</f>
        <v xml:space="preserve">      Maharashtra State Power Generation Company Ltd.</v>
      </c>
      <c r="C2" s="1468"/>
      <c r="D2" s="1468"/>
      <c r="E2" s="1468"/>
      <c r="F2" s="1468"/>
      <c r="G2" s="1468"/>
      <c r="H2" s="1468"/>
      <c r="I2" s="1468"/>
      <c r="J2" s="1468"/>
      <c r="K2" s="1468"/>
      <c r="L2" s="1468"/>
      <c r="M2" s="1468"/>
      <c r="N2" s="1468"/>
    </row>
    <row r="3" spans="2:14" x14ac:dyDescent="0.3">
      <c r="B3" s="1468" t="str">
        <f>Index!B3</f>
        <v>MYT Petition Formats for SHP Hydro</v>
      </c>
      <c r="C3" s="1468"/>
      <c r="D3" s="1468"/>
      <c r="E3" s="1468"/>
      <c r="F3" s="1468"/>
      <c r="G3" s="1468"/>
      <c r="H3" s="1468"/>
      <c r="I3" s="1468"/>
      <c r="J3" s="1468"/>
      <c r="K3" s="1468"/>
      <c r="L3" s="1468"/>
      <c r="M3" s="1468"/>
      <c r="N3" s="1468"/>
    </row>
    <row r="4" spans="2:14" x14ac:dyDescent="0.3">
      <c r="B4" s="1684" t="s">
        <v>429</v>
      </c>
      <c r="C4" s="1684"/>
      <c r="D4" s="1684"/>
      <c r="E4" s="1684"/>
      <c r="F4" s="1684"/>
      <c r="G4" s="1684"/>
      <c r="H4" s="1684"/>
      <c r="I4" s="1684"/>
      <c r="J4" s="1684"/>
      <c r="K4" s="1684"/>
      <c r="L4" s="1684"/>
      <c r="M4" s="1684"/>
      <c r="N4" s="1684"/>
    </row>
    <row r="5" spans="2:14" x14ac:dyDescent="0.3">
      <c r="B5" s="271"/>
      <c r="C5" s="271"/>
      <c r="D5" s="271"/>
      <c r="E5" s="271"/>
      <c r="F5" s="271"/>
      <c r="G5" s="271"/>
      <c r="H5" s="271"/>
      <c r="I5" s="271"/>
      <c r="J5" s="271"/>
      <c r="K5" s="271"/>
      <c r="L5" s="271"/>
      <c r="M5" s="271"/>
      <c r="N5" s="271"/>
    </row>
    <row r="6" spans="2:14" x14ac:dyDescent="0.3">
      <c r="B6" s="271"/>
      <c r="C6" s="271"/>
      <c r="D6" s="271"/>
      <c r="E6" s="271"/>
      <c r="F6" s="271"/>
      <c r="G6" s="271"/>
      <c r="H6" s="271"/>
      <c r="I6" s="271"/>
      <c r="J6" s="271"/>
      <c r="K6" s="271"/>
      <c r="L6" s="271"/>
      <c r="M6" s="271"/>
      <c r="N6" s="271"/>
    </row>
    <row r="8" spans="2:14" x14ac:dyDescent="0.3">
      <c r="B8" s="65" t="s">
        <v>940</v>
      </c>
    </row>
    <row r="9" spans="2:14" x14ac:dyDescent="0.3">
      <c r="B9" s="65"/>
      <c r="N9" s="42" t="s">
        <v>10</v>
      </c>
    </row>
    <row r="10" spans="2:14" s="281" customFormat="1" ht="35.75" customHeight="1" x14ac:dyDescent="0.25">
      <c r="B10" s="1474" t="s">
        <v>278</v>
      </c>
      <c r="C10" s="1523" t="s">
        <v>294</v>
      </c>
      <c r="D10" s="1523"/>
      <c r="E10" s="1523"/>
      <c r="F10" s="1523"/>
      <c r="G10" s="1521" t="s">
        <v>295</v>
      </c>
      <c r="H10" s="1521"/>
      <c r="I10" s="1521"/>
      <c r="J10" s="1682" t="s">
        <v>296</v>
      </c>
      <c r="K10" s="1682"/>
      <c r="L10" s="1682"/>
      <c r="M10" s="1682"/>
      <c r="N10" s="1682"/>
    </row>
    <row r="11" spans="2:14" ht="72" customHeight="1" x14ac:dyDescent="0.3">
      <c r="B11" s="1474"/>
      <c r="C11" s="349" t="s">
        <v>350</v>
      </c>
      <c r="D11" s="349" t="s">
        <v>348</v>
      </c>
      <c r="E11" s="619" t="s">
        <v>775</v>
      </c>
      <c r="F11" s="349" t="s">
        <v>349</v>
      </c>
      <c r="G11" s="349" t="s">
        <v>297</v>
      </c>
      <c r="H11" s="349" t="s">
        <v>776</v>
      </c>
      <c r="I11" s="349" t="s">
        <v>298</v>
      </c>
      <c r="J11" s="349" t="s">
        <v>299</v>
      </c>
      <c r="K11" s="349" t="s">
        <v>300</v>
      </c>
      <c r="L11" s="619" t="s">
        <v>777</v>
      </c>
      <c r="M11" s="349" t="s">
        <v>778</v>
      </c>
      <c r="N11" s="350" t="s">
        <v>271</v>
      </c>
    </row>
    <row r="12" spans="2:14" x14ac:dyDescent="0.3">
      <c r="B12" s="277"/>
      <c r="C12" s="278"/>
      <c r="D12" s="278"/>
      <c r="E12" s="278"/>
      <c r="F12" s="278"/>
      <c r="G12" s="278"/>
      <c r="H12" s="278"/>
      <c r="I12" s="278"/>
      <c r="J12" s="278"/>
      <c r="K12" s="278"/>
      <c r="L12" s="278"/>
      <c r="M12" s="278"/>
      <c r="N12" s="279"/>
    </row>
    <row r="13" spans="2:14" x14ac:dyDescent="0.3">
      <c r="B13" s="154" t="s">
        <v>811</v>
      </c>
      <c r="C13" s="354">
        <f ca="1">'F9.2'!C23</f>
        <v>435.21682475230824</v>
      </c>
      <c r="D13" s="521">
        <f ca="1">'F9.2'!D23</f>
        <v>2.0120030609386292</v>
      </c>
      <c r="E13" s="354">
        <f>'F9.2'!E23</f>
        <v>0</v>
      </c>
      <c r="F13" s="354">
        <f>'F9.2'!F23</f>
        <v>0</v>
      </c>
      <c r="G13" s="352">
        <f>'F9.2'!G23</f>
        <v>1081.5510999999999</v>
      </c>
      <c r="H13" s="522">
        <f>'F9.2'!H23</f>
        <v>0</v>
      </c>
      <c r="I13" s="352">
        <f>'F9.2'!I23</f>
        <v>0</v>
      </c>
      <c r="J13" s="352">
        <f ca="1">C13*0.5</f>
        <v>217.60841237615412</v>
      </c>
      <c r="K13" s="405">
        <f ca="1">'F2.5'!P15*(1-'F2.5'!P17)*D13/10</f>
        <v>217.60841237615415</v>
      </c>
      <c r="L13" s="354">
        <f>E13</f>
        <v>0</v>
      </c>
      <c r="M13" s="23">
        <f>'F9.2'!M23</f>
        <v>0</v>
      </c>
      <c r="N13" s="352">
        <f ca="1">SUM(J13:M13)</f>
        <v>435.2168247523083</v>
      </c>
    </row>
    <row r="14" spans="2:14" x14ac:dyDescent="0.3">
      <c r="B14" s="109"/>
      <c r="C14" s="23"/>
      <c r="D14" s="23"/>
      <c r="E14" s="23"/>
      <c r="F14" s="23"/>
      <c r="G14" s="23"/>
      <c r="H14" s="23"/>
      <c r="I14" s="23"/>
      <c r="J14" s="23"/>
      <c r="K14" s="23"/>
      <c r="L14" s="23"/>
      <c r="M14" s="23"/>
      <c r="N14" s="352"/>
    </row>
    <row r="15" spans="2:14" x14ac:dyDescent="0.3">
      <c r="B15" s="280" t="s">
        <v>271</v>
      </c>
      <c r="C15" s="379"/>
      <c r="D15" s="379"/>
      <c r="E15" s="379"/>
      <c r="F15" s="379"/>
      <c r="G15" s="379">
        <f>SUM(G13:G14)</f>
        <v>1081.5510999999999</v>
      </c>
      <c r="H15" s="379"/>
      <c r="I15" s="379"/>
      <c r="J15" s="379">
        <f ca="1">SUM(J13:J14)</f>
        <v>217.60841237615412</v>
      </c>
      <c r="K15" s="379">
        <f ca="1">SUM(K13:K14)</f>
        <v>217.60841237615415</v>
      </c>
      <c r="L15" s="379">
        <f>SUM(L13:L14)</f>
        <v>0</v>
      </c>
      <c r="M15" s="379">
        <f>SUM(M13:M14)</f>
        <v>0</v>
      </c>
      <c r="N15" s="352">
        <f ca="1">SUM(J15:M15)</f>
        <v>435.2168247523083</v>
      </c>
    </row>
    <row r="19" spans="2:14" x14ac:dyDescent="0.3">
      <c r="B19" s="65" t="s">
        <v>941</v>
      </c>
      <c r="N19" s="276"/>
    </row>
    <row r="20" spans="2:14" x14ac:dyDescent="0.3">
      <c r="B20" s="65"/>
      <c r="N20" s="42" t="s">
        <v>10</v>
      </c>
    </row>
    <row r="21" spans="2:14" ht="32" customHeight="1" x14ac:dyDescent="0.3">
      <c r="B21" s="1474" t="s">
        <v>278</v>
      </c>
      <c r="C21" s="1523" t="s">
        <v>294</v>
      </c>
      <c r="D21" s="1523"/>
      <c r="E21" s="1523"/>
      <c r="F21" s="1523"/>
      <c r="G21" s="1521" t="s">
        <v>295</v>
      </c>
      <c r="H21" s="1521"/>
      <c r="I21" s="1521"/>
      <c r="J21" s="1682" t="s">
        <v>296</v>
      </c>
      <c r="K21" s="1682"/>
      <c r="L21" s="1682"/>
      <c r="M21" s="1682"/>
      <c r="N21" s="1682"/>
    </row>
    <row r="22" spans="2:14" ht="68.25" customHeight="1" x14ac:dyDescent="0.3">
      <c r="B22" s="1474"/>
      <c r="C22" s="349" t="s">
        <v>350</v>
      </c>
      <c r="D22" s="349" t="s">
        <v>348</v>
      </c>
      <c r="E22" s="619" t="s">
        <v>775</v>
      </c>
      <c r="F22" s="349" t="s">
        <v>349</v>
      </c>
      <c r="G22" s="349" t="s">
        <v>297</v>
      </c>
      <c r="H22" s="349" t="s">
        <v>776</v>
      </c>
      <c r="I22" s="349" t="s">
        <v>298</v>
      </c>
      <c r="J22" s="349" t="s">
        <v>299</v>
      </c>
      <c r="K22" s="349" t="s">
        <v>300</v>
      </c>
      <c r="L22" s="619" t="s">
        <v>777</v>
      </c>
      <c r="M22" s="349" t="s">
        <v>778</v>
      </c>
      <c r="N22" s="350" t="s">
        <v>271</v>
      </c>
    </row>
    <row r="23" spans="2:14" x14ac:dyDescent="0.3">
      <c r="B23" s="277"/>
      <c r="C23" s="278"/>
      <c r="D23" s="278"/>
      <c r="E23" s="278"/>
      <c r="F23" s="278"/>
      <c r="G23" s="278"/>
      <c r="H23" s="278"/>
      <c r="I23" s="278"/>
      <c r="J23" s="278"/>
      <c r="K23" s="278"/>
      <c r="L23" s="278"/>
      <c r="M23" s="278"/>
      <c r="N23" s="279"/>
    </row>
    <row r="24" spans="2:14" x14ac:dyDescent="0.3">
      <c r="B24" s="154" t="s">
        <v>811</v>
      </c>
      <c r="C24" s="352">
        <f ca="1">'F9.2'!C34</f>
        <v>460.44455964668657</v>
      </c>
      <c r="D24" s="352">
        <f ca="1">'F9.2'!D34</f>
        <v>2.1286306289489541</v>
      </c>
      <c r="E24" s="352">
        <f>'F9.2'!E34</f>
        <v>0</v>
      </c>
      <c r="F24" s="352">
        <f>'F9.2'!F34</f>
        <v>0</v>
      </c>
      <c r="G24" s="352">
        <f>'F9.2'!G34</f>
        <v>1081.5510999999999</v>
      </c>
      <c r="H24" s="523">
        <f>'F9.2'!H34</f>
        <v>0</v>
      </c>
      <c r="I24" s="352">
        <f>'F9.2'!I34</f>
        <v>0</v>
      </c>
      <c r="J24" s="352">
        <f ca="1">C24*0.5</f>
        <v>230.22227982334329</v>
      </c>
      <c r="K24" s="608">
        <f ca="1">'F2.5'!Q15*(1-'F2.5'!Q17)*D24/10</f>
        <v>230.22227982334329</v>
      </c>
      <c r="L24" s="352">
        <f>'F9.2'!L34</f>
        <v>0</v>
      </c>
      <c r="M24" s="352">
        <f>'F9.2'!M34</f>
        <v>0</v>
      </c>
      <c r="N24" s="352">
        <f ca="1">SUM(J24:M24)</f>
        <v>460.44455964668657</v>
      </c>
    </row>
    <row r="25" spans="2:14" x14ac:dyDescent="0.3">
      <c r="B25" s="109"/>
      <c r="C25" s="352"/>
      <c r="D25" s="352"/>
      <c r="E25" s="352"/>
      <c r="F25" s="352"/>
      <c r="G25" s="352"/>
      <c r="H25" s="352"/>
      <c r="I25" s="352"/>
      <c r="J25" s="352"/>
      <c r="K25" s="352"/>
      <c r="L25" s="352"/>
      <c r="M25" s="352"/>
      <c r="N25" s="352"/>
    </row>
    <row r="26" spans="2:14" x14ac:dyDescent="0.3">
      <c r="B26" s="280" t="s">
        <v>271</v>
      </c>
      <c r="C26" s="379"/>
      <c r="D26" s="379"/>
      <c r="E26" s="379"/>
      <c r="F26" s="379"/>
      <c r="G26" s="379">
        <f>SUM(G24:G25)</f>
        <v>1081.5510999999999</v>
      </c>
      <c r="H26" s="379"/>
      <c r="I26" s="379"/>
      <c r="J26" s="379">
        <f ca="1">SUM(J24:J25)</f>
        <v>230.22227982334329</v>
      </c>
      <c r="K26" s="379">
        <f ca="1">SUM(K24:K25)</f>
        <v>230.22227982334329</v>
      </c>
      <c r="L26" s="379">
        <f>SUM(L24:L25)</f>
        <v>0</v>
      </c>
      <c r="M26" s="379">
        <f>SUM(M24:M25)</f>
        <v>0</v>
      </c>
      <c r="N26" s="352">
        <f ca="1">SUM(J26:M26)</f>
        <v>460.44455964668657</v>
      </c>
    </row>
    <row r="30" spans="2:14" x14ac:dyDescent="0.3">
      <c r="B30" s="65" t="s">
        <v>945</v>
      </c>
      <c r="N30" s="276"/>
    </row>
    <row r="31" spans="2:14" x14ac:dyDescent="0.3">
      <c r="B31" s="65"/>
      <c r="N31" s="42" t="s">
        <v>10</v>
      </c>
    </row>
    <row r="32" spans="2:14" x14ac:dyDescent="0.3">
      <c r="B32" s="1474" t="s">
        <v>278</v>
      </c>
      <c r="C32" s="1523" t="s">
        <v>294</v>
      </c>
      <c r="D32" s="1523"/>
      <c r="E32" s="1523"/>
      <c r="F32" s="1523"/>
      <c r="G32" s="1521" t="s">
        <v>295</v>
      </c>
      <c r="H32" s="1521"/>
      <c r="I32" s="1521"/>
      <c r="J32" s="1682" t="s">
        <v>296</v>
      </c>
      <c r="K32" s="1682"/>
      <c r="L32" s="1682"/>
      <c r="M32" s="1682"/>
      <c r="N32" s="1682"/>
    </row>
    <row r="33" spans="2:14" ht="70" x14ac:dyDescent="0.3">
      <c r="B33" s="1474"/>
      <c r="C33" s="592" t="s">
        <v>350</v>
      </c>
      <c r="D33" s="592" t="s">
        <v>348</v>
      </c>
      <c r="E33" s="619" t="s">
        <v>775</v>
      </c>
      <c r="F33" s="592" t="s">
        <v>349</v>
      </c>
      <c r="G33" s="592" t="s">
        <v>297</v>
      </c>
      <c r="H33" s="592" t="s">
        <v>776</v>
      </c>
      <c r="I33" s="592" t="s">
        <v>298</v>
      </c>
      <c r="J33" s="592" t="s">
        <v>299</v>
      </c>
      <c r="K33" s="592" t="s">
        <v>300</v>
      </c>
      <c r="L33" s="619" t="s">
        <v>777</v>
      </c>
      <c r="M33" s="592" t="s">
        <v>778</v>
      </c>
      <c r="N33" s="593" t="s">
        <v>271</v>
      </c>
    </row>
    <row r="34" spans="2:14" x14ac:dyDescent="0.3">
      <c r="B34" s="277"/>
      <c r="C34" s="278"/>
      <c r="D34" s="278"/>
      <c r="E34" s="278"/>
      <c r="F34" s="278"/>
      <c r="G34" s="278"/>
      <c r="H34" s="278"/>
      <c r="I34" s="278"/>
      <c r="J34" s="278"/>
      <c r="K34" s="278"/>
      <c r="L34" s="278"/>
      <c r="M34" s="278"/>
      <c r="N34" s="279"/>
    </row>
    <row r="35" spans="2:14" x14ac:dyDescent="0.3">
      <c r="B35" s="154" t="s">
        <v>811</v>
      </c>
      <c r="C35" s="352">
        <f ca="1">'F9.2'!C45</f>
        <v>482.39443726183669</v>
      </c>
      <c r="D35" s="352">
        <f ca="1">'F9.2'!D45</f>
        <v>2.230104695292884</v>
      </c>
      <c r="E35" s="352">
        <f>'F9.2'!E45</f>
        <v>0</v>
      </c>
      <c r="F35" s="352">
        <f>'F9.2'!F45</f>
        <v>0</v>
      </c>
      <c r="G35" s="352">
        <f>'F9.2'!G45</f>
        <v>1081.5510999999999</v>
      </c>
      <c r="H35" s="523">
        <f>'F9.2'!H45</f>
        <v>0</v>
      </c>
      <c r="I35" s="352">
        <f>'F9.2'!I45</f>
        <v>0</v>
      </c>
      <c r="J35" s="352">
        <f ca="1">C35*0.5</f>
        <v>241.19721863091834</v>
      </c>
      <c r="K35" s="608">
        <f ca="1">'F2.5'!R15*(1-'F2.5'!R17)*D35/10</f>
        <v>241.19721863091831</v>
      </c>
      <c r="L35" s="352">
        <f>'F9.2'!L45</f>
        <v>0</v>
      </c>
      <c r="M35" s="352">
        <f>'F9.2'!M45</f>
        <v>0</v>
      </c>
      <c r="N35" s="352">
        <f ca="1">SUM(J35:M35)</f>
        <v>482.39443726183663</v>
      </c>
    </row>
    <row r="36" spans="2:14" x14ac:dyDescent="0.3">
      <c r="B36" s="109"/>
      <c r="C36" s="352"/>
      <c r="D36" s="352"/>
      <c r="E36" s="352"/>
      <c r="F36" s="352"/>
      <c r="G36" s="352"/>
      <c r="H36" s="352"/>
      <c r="I36" s="352"/>
      <c r="J36" s="352"/>
      <c r="K36" s="352"/>
      <c r="L36" s="352"/>
      <c r="M36" s="352"/>
      <c r="N36" s="352"/>
    </row>
    <row r="37" spans="2:14" x14ac:dyDescent="0.3">
      <c r="B37" s="280" t="s">
        <v>271</v>
      </c>
      <c r="C37" s="379"/>
      <c r="D37" s="379"/>
      <c r="E37" s="379"/>
      <c r="F37" s="379"/>
      <c r="G37" s="379">
        <f>SUM(G35:G36)</f>
        <v>1081.5510999999999</v>
      </c>
      <c r="H37" s="379"/>
      <c r="I37" s="379"/>
      <c r="J37" s="379">
        <f ca="1">SUM(J35:J36)</f>
        <v>241.19721863091834</v>
      </c>
      <c r="K37" s="379">
        <f ca="1">SUM(K35:K36)</f>
        <v>241.19721863091831</v>
      </c>
      <c r="L37" s="379">
        <f>SUM(L35:L36)</f>
        <v>0</v>
      </c>
      <c r="M37" s="379">
        <f>SUM(M35:M36)</f>
        <v>0</v>
      </c>
      <c r="N37" s="352">
        <f ca="1">SUM(J37:M37)</f>
        <v>482.39443726183663</v>
      </c>
    </row>
    <row r="40" spans="2:14" x14ac:dyDescent="0.3">
      <c r="B40" s="65" t="s">
        <v>942</v>
      </c>
      <c r="N40" s="276"/>
    </row>
    <row r="41" spans="2:14" x14ac:dyDescent="0.3">
      <c r="B41" s="65"/>
      <c r="N41" s="42" t="s">
        <v>10</v>
      </c>
    </row>
    <row r="42" spans="2:14" x14ac:dyDescent="0.3">
      <c r="B42" s="1474" t="s">
        <v>278</v>
      </c>
      <c r="C42" s="1523" t="s">
        <v>294</v>
      </c>
      <c r="D42" s="1523"/>
      <c r="E42" s="1523"/>
      <c r="F42" s="1523"/>
      <c r="G42" s="1521" t="s">
        <v>295</v>
      </c>
      <c r="H42" s="1521"/>
      <c r="I42" s="1521"/>
      <c r="J42" s="1682" t="s">
        <v>296</v>
      </c>
      <c r="K42" s="1682"/>
      <c r="L42" s="1682"/>
      <c r="M42" s="1682"/>
      <c r="N42" s="1682"/>
    </row>
    <row r="43" spans="2:14" ht="70" x14ac:dyDescent="0.3">
      <c r="B43" s="1474"/>
      <c r="C43" s="592" t="s">
        <v>350</v>
      </c>
      <c r="D43" s="592" t="s">
        <v>348</v>
      </c>
      <c r="E43" s="619" t="s">
        <v>775</v>
      </c>
      <c r="F43" s="592" t="s">
        <v>349</v>
      </c>
      <c r="G43" s="592" t="s">
        <v>297</v>
      </c>
      <c r="H43" s="592" t="s">
        <v>776</v>
      </c>
      <c r="I43" s="592" t="s">
        <v>298</v>
      </c>
      <c r="J43" s="592" t="s">
        <v>299</v>
      </c>
      <c r="K43" s="592" t="s">
        <v>300</v>
      </c>
      <c r="L43" s="619" t="s">
        <v>777</v>
      </c>
      <c r="M43" s="592" t="s">
        <v>778</v>
      </c>
      <c r="N43" s="593" t="s">
        <v>271</v>
      </c>
    </row>
    <row r="44" spans="2:14" x14ac:dyDescent="0.3">
      <c r="B44" s="277"/>
      <c r="C44" s="278"/>
      <c r="D44" s="278"/>
      <c r="E44" s="278"/>
      <c r="F44" s="278"/>
      <c r="G44" s="278"/>
      <c r="H44" s="278"/>
      <c r="I44" s="278"/>
      <c r="J44" s="278"/>
      <c r="K44" s="278"/>
      <c r="L44" s="278"/>
      <c r="M44" s="278"/>
      <c r="N44" s="279"/>
    </row>
    <row r="45" spans="2:14" x14ac:dyDescent="0.3">
      <c r="B45" s="154" t="s">
        <v>811</v>
      </c>
      <c r="C45" s="352">
        <f ca="1">'F9.2'!C56</f>
        <v>482.28172865085025</v>
      </c>
      <c r="D45" s="352">
        <f ca="1">'F9.2'!D56</f>
        <v>2.229583644503021</v>
      </c>
      <c r="E45" s="352">
        <f>'F9.2'!E56</f>
        <v>0</v>
      </c>
      <c r="F45" s="352">
        <f>'F9.2'!F56</f>
        <v>0</v>
      </c>
      <c r="G45" s="352">
        <f>'F9.2'!G56</f>
        <v>1081.5510999999999</v>
      </c>
      <c r="H45" s="523">
        <f>'F9.2'!H56</f>
        <v>0</v>
      </c>
      <c r="I45" s="352">
        <f>'F9.2'!I56</f>
        <v>0</v>
      </c>
      <c r="J45" s="352">
        <f ca="1">C45*0.5</f>
        <v>241.14086432542513</v>
      </c>
      <c r="K45" s="608">
        <f ca="1">'F2.5'!S15*(1-'F2.5'!S17)*D45/10</f>
        <v>241.14086432542513</v>
      </c>
      <c r="L45" s="352">
        <f>'F9.2'!L56</f>
        <v>0</v>
      </c>
      <c r="M45" s="352">
        <f>'F9.2'!M56</f>
        <v>0</v>
      </c>
      <c r="N45" s="352">
        <f ca="1">SUM(J45:M45)</f>
        <v>482.28172865085025</v>
      </c>
    </row>
    <row r="46" spans="2:14" x14ac:dyDescent="0.3">
      <c r="B46" s="109"/>
      <c r="C46" s="352"/>
      <c r="D46" s="352"/>
      <c r="E46" s="352"/>
      <c r="F46" s="352"/>
      <c r="G46" s="352"/>
      <c r="H46" s="352"/>
      <c r="I46" s="352"/>
      <c r="J46" s="352"/>
      <c r="K46" s="352"/>
      <c r="L46" s="352"/>
      <c r="M46" s="352"/>
      <c r="N46" s="352"/>
    </row>
    <row r="47" spans="2:14" x14ac:dyDescent="0.3">
      <c r="B47" s="280" t="s">
        <v>271</v>
      </c>
      <c r="C47" s="379"/>
      <c r="D47" s="379"/>
      <c r="E47" s="379"/>
      <c r="F47" s="379"/>
      <c r="G47" s="379">
        <f>SUM(G45:G46)</f>
        <v>1081.5510999999999</v>
      </c>
      <c r="H47" s="379"/>
      <c r="I47" s="379"/>
      <c r="J47" s="379">
        <f ca="1">SUM(J45:J46)</f>
        <v>241.14086432542513</v>
      </c>
      <c r="K47" s="379">
        <f ca="1">SUM(K45:K46)</f>
        <v>241.14086432542513</v>
      </c>
      <c r="L47" s="379">
        <f>SUM(L45:L46)</f>
        <v>0</v>
      </c>
      <c r="M47" s="379">
        <f>SUM(M45:M46)</f>
        <v>0</v>
      </c>
      <c r="N47" s="352">
        <f ca="1">SUM(J47:M47)</f>
        <v>482.28172865085025</v>
      </c>
    </row>
    <row r="51" spans="2:14" x14ac:dyDescent="0.3">
      <c r="B51" s="65" t="s">
        <v>944</v>
      </c>
      <c r="N51" s="276"/>
    </row>
    <row r="52" spans="2:14" x14ac:dyDescent="0.3">
      <c r="B52" s="65"/>
      <c r="N52" s="42" t="s">
        <v>10</v>
      </c>
    </row>
    <row r="53" spans="2:14" x14ac:dyDescent="0.3">
      <c r="B53" s="1474" t="s">
        <v>278</v>
      </c>
      <c r="C53" s="1523" t="s">
        <v>294</v>
      </c>
      <c r="D53" s="1523"/>
      <c r="E53" s="1523"/>
      <c r="F53" s="1523"/>
      <c r="G53" s="1521" t="s">
        <v>295</v>
      </c>
      <c r="H53" s="1521"/>
      <c r="I53" s="1521"/>
      <c r="J53" s="1682" t="s">
        <v>296</v>
      </c>
      <c r="K53" s="1682"/>
      <c r="L53" s="1682"/>
      <c r="M53" s="1682"/>
      <c r="N53" s="1682"/>
    </row>
    <row r="54" spans="2:14" ht="70" x14ac:dyDescent="0.3">
      <c r="B54" s="1474"/>
      <c r="C54" s="592" t="s">
        <v>350</v>
      </c>
      <c r="D54" s="592" t="s">
        <v>348</v>
      </c>
      <c r="E54" s="619" t="s">
        <v>775</v>
      </c>
      <c r="F54" s="592" t="s">
        <v>349</v>
      </c>
      <c r="G54" s="592" t="s">
        <v>297</v>
      </c>
      <c r="H54" s="592" t="s">
        <v>776</v>
      </c>
      <c r="I54" s="592" t="s">
        <v>298</v>
      </c>
      <c r="J54" s="592" t="s">
        <v>299</v>
      </c>
      <c r="K54" s="592" t="s">
        <v>300</v>
      </c>
      <c r="L54" s="619" t="s">
        <v>777</v>
      </c>
      <c r="M54" s="592" t="s">
        <v>778</v>
      </c>
      <c r="N54" s="593" t="s">
        <v>271</v>
      </c>
    </row>
    <row r="55" spans="2:14" x14ac:dyDescent="0.3">
      <c r="B55" s="277"/>
      <c r="C55" s="278"/>
      <c r="D55" s="278"/>
      <c r="E55" s="278"/>
      <c r="F55" s="278"/>
      <c r="G55" s="278"/>
      <c r="H55" s="278"/>
      <c r="I55" s="278"/>
      <c r="J55" s="278"/>
      <c r="K55" s="278"/>
      <c r="L55" s="278"/>
      <c r="M55" s="278"/>
      <c r="N55" s="279"/>
    </row>
    <row r="56" spans="2:14" x14ac:dyDescent="0.3">
      <c r="B56" s="154" t="s">
        <v>811</v>
      </c>
      <c r="C56" s="352">
        <f>'F9.2'!C6</f>
        <v>0</v>
      </c>
      <c r="D56" s="352">
        <f ca="1">'F9.2'!D67</f>
        <v>2.2730370948382692</v>
      </c>
      <c r="E56" s="352">
        <f>'F9.2'!E67</f>
        <v>0</v>
      </c>
      <c r="F56" s="352">
        <f>'F9.2'!F67</f>
        <v>0</v>
      </c>
      <c r="G56" s="352">
        <f>'F9.2'!G67</f>
        <v>1081.5510999999999</v>
      </c>
      <c r="H56" s="523">
        <f>'F9.2'!H67</f>
        <v>0</v>
      </c>
      <c r="I56" s="352">
        <f>'F9.2'!I67</f>
        <v>0</v>
      </c>
      <c r="J56" s="352">
        <f>C56*0.5</f>
        <v>0</v>
      </c>
      <c r="K56" s="608">
        <f ca="1">'F2.5'!T15*(1-'F2.5'!T17)*D56/10</f>
        <v>245.84057702631344</v>
      </c>
      <c r="L56" s="352">
        <f>'F9.2'!L67</f>
        <v>0</v>
      </c>
      <c r="M56" s="352">
        <f>'F9.2'!M67</f>
        <v>0</v>
      </c>
      <c r="N56" s="352">
        <f ca="1">SUM(J56:M56)</f>
        <v>245.84057702631344</v>
      </c>
    </row>
    <row r="57" spans="2:14" x14ac:dyDescent="0.3">
      <c r="B57" s="109"/>
      <c r="C57" s="352"/>
      <c r="D57" s="352"/>
      <c r="E57" s="352"/>
      <c r="F57" s="352"/>
      <c r="G57" s="352"/>
      <c r="H57" s="352"/>
      <c r="I57" s="352"/>
      <c r="J57" s="352"/>
      <c r="K57" s="352"/>
      <c r="L57" s="352"/>
      <c r="M57" s="352"/>
      <c r="N57" s="352"/>
    </row>
    <row r="58" spans="2:14" x14ac:dyDescent="0.3">
      <c r="B58" s="280" t="s">
        <v>271</v>
      </c>
      <c r="C58" s="379"/>
      <c r="D58" s="379"/>
      <c r="E58" s="379"/>
      <c r="F58" s="379"/>
      <c r="G58" s="379">
        <f>SUM(G56:G57)</f>
        <v>1081.5510999999999</v>
      </c>
      <c r="H58" s="379"/>
      <c r="I58" s="379"/>
      <c r="J58" s="379">
        <f>SUM(J56:J57)</f>
        <v>0</v>
      </c>
      <c r="K58" s="379">
        <f ca="1">SUM(K56:K57)</f>
        <v>245.84057702631344</v>
      </c>
      <c r="L58" s="379">
        <f>SUM(L56:L57)</f>
        <v>0</v>
      </c>
      <c r="M58" s="379">
        <f>SUM(M56:M57)</f>
        <v>0</v>
      </c>
      <c r="N58" s="352">
        <f ca="1">SUM(J58:M58)</f>
        <v>245.84057702631344</v>
      </c>
    </row>
  </sheetData>
  <mergeCells count="23">
    <mergeCell ref="B53:B54"/>
    <mergeCell ref="C53:F53"/>
    <mergeCell ref="G53:I53"/>
    <mergeCell ref="J53:N53"/>
    <mergeCell ref="B32:B33"/>
    <mergeCell ref="C32:F32"/>
    <mergeCell ref="G32:I32"/>
    <mergeCell ref="J32:N32"/>
    <mergeCell ref="B42:B43"/>
    <mergeCell ref="C42:F42"/>
    <mergeCell ref="G42:I42"/>
    <mergeCell ref="J42:N42"/>
    <mergeCell ref="B21:B22"/>
    <mergeCell ref="C21:F21"/>
    <mergeCell ref="G21:I21"/>
    <mergeCell ref="J21:N21"/>
    <mergeCell ref="B2:N2"/>
    <mergeCell ref="B3:N3"/>
    <mergeCell ref="B4:N4"/>
    <mergeCell ref="B10:B11"/>
    <mergeCell ref="C10:F10"/>
    <mergeCell ref="G10:I10"/>
    <mergeCell ref="J10:N10"/>
  </mergeCells>
  <pageMargins left="0.7" right="0.7" top="0.75" bottom="0.75" header="0.3" footer="0.3"/>
  <pageSetup paperSize="9" scale="4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Z29"/>
  <sheetViews>
    <sheetView showGridLines="0" view="pageBreakPreview" zoomScale="55" zoomScaleNormal="75" zoomScaleSheetLayoutView="55" workbookViewId="0">
      <selection activeCell="E27" sqref="E27"/>
    </sheetView>
  </sheetViews>
  <sheetFormatPr defaultColWidth="9.36328125" defaultRowHeight="14" x14ac:dyDescent="0.25"/>
  <cols>
    <col min="1" max="2" width="6.36328125" style="13" customWidth="1"/>
    <col min="3" max="3" width="53.6328125" style="13" bestFit="1" customWidth="1"/>
    <col min="4" max="4" width="14.6328125" style="13" bestFit="1" customWidth="1"/>
    <col min="5" max="5" width="15.36328125" style="13" bestFit="1" customWidth="1"/>
    <col min="6" max="9" width="18.6328125" style="13" customWidth="1"/>
    <col min="10" max="10" width="14.6328125" style="13" bestFit="1" customWidth="1"/>
    <col min="11" max="11" width="15.36328125" style="13" bestFit="1" customWidth="1"/>
    <col min="12" max="12" width="16.36328125" style="13" bestFit="1" customWidth="1"/>
    <col min="13" max="13" width="14.6328125" style="13" bestFit="1" customWidth="1"/>
    <col min="14" max="14" width="14.453125" style="13" customWidth="1"/>
    <col min="15" max="15" width="17.36328125" style="13" customWidth="1"/>
    <col min="16" max="20" width="15.6328125" style="13" customWidth="1"/>
    <col min="21" max="25" width="18.54296875" style="13" customWidth="1"/>
    <col min="26" max="26" width="15.6328125" style="13" customWidth="1"/>
    <col min="27" max="16384" width="9.36328125" style="13"/>
  </cols>
  <sheetData>
    <row r="2" spans="2:26" x14ac:dyDescent="0.25">
      <c r="C2" s="119"/>
      <c r="D2" s="119"/>
      <c r="E2" s="119"/>
      <c r="F2" s="119"/>
      <c r="G2" s="119"/>
      <c r="H2" s="119"/>
      <c r="I2" s="119"/>
      <c r="J2" s="119"/>
      <c r="K2" s="119"/>
      <c r="L2" s="119"/>
      <c r="M2" s="119"/>
      <c r="N2" s="85" t="str">
        <f>Index!B2</f>
        <v xml:space="preserve">      Maharashtra State Power Generation Company Ltd.</v>
      </c>
      <c r="O2" s="243"/>
      <c r="P2" s="119"/>
      <c r="Q2" s="119"/>
      <c r="R2" s="119"/>
      <c r="S2" s="119"/>
      <c r="T2" s="119"/>
      <c r="U2" s="119"/>
      <c r="V2" s="119"/>
      <c r="W2" s="119"/>
      <c r="X2" s="119"/>
      <c r="Y2" s="119"/>
      <c r="Z2" s="119"/>
    </row>
    <row r="3" spans="2:26" s="5" customFormat="1" x14ac:dyDescent="0.3">
      <c r="C3" s="119"/>
      <c r="D3" s="119"/>
      <c r="E3" s="119"/>
      <c r="F3" s="119"/>
      <c r="G3" s="119"/>
      <c r="H3" s="119"/>
      <c r="I3" s="119"/>
      <c r="J3" s="119"/>
      <c r="K3" s="119"/>
      <c r="L3" s="119"/>
      <c r="M3" s="119"/>
      <c r="N3" s="385" t="str">
        <f>Index!B3</f>
        <v>MYT Petition Formats for SHP Hydro</v>
      </c>
      <c r="O3" s="90"/>
      <c r="P3" s="119"/>
      <c r="Q3" s="119"/>
      <c r="R3" s="119"/>
      <c r="S3" s="119"/>
      <c r="T3" s="119"/>
      <c r="U3" s="119"/>
      <c r="V3" s="119"/>
      <c r="W3" s="119"/>
      <c r="X3" s="119"/>
      <c r="Y3" s="119"/>
      <c r="Z3" s="119"/>
    </row>
    <row r="4" spans="2:26" s="5" customFormat="1" x14ac:dyDescent="0.3">
      <c r="C4" s="119"/>
      <c r="D4" s="119"/>
      <c r="E4" s="119"/>
      <c r="F4" s="119"/>
      <c r="G4" s="119"/>
      <c r="H4" s="119"/>
      <c r="I4" s="119"/>
      <c r="J4" s="119"/>
      <c r="K4" s="119"/>
      <c r="L4" s="119"/>
      <c r="M4" s="119"/>
      <c r="N4" s="86" t="s">
        <v>325</v>
      </c>
      <c r="O4" s="244"/>
      <c r="P4" s="119"/>
      <c r="Q4" s="119"/>
      <c r="R4" s="119"/>
      <c r="S4" s="119"/>
      <c r="T4" s="119"/>
      <c r="U4" s="119"/>
      <c r="V4" s="119"/>
      <c r="W4" s="119"/>
      <c r="X4" s="119"/>
      <c r="Y4" s="119"/>
      <c r="Z4" s="119"/>
    </row>
    <row r="6" spans="2:26" x14ac:dyDescent="0.25">
      <c r="U6" s="22" t="s">
        <v>10</v>
      </c>
    </row>
    <row r="7" spans="2:26" ht="15" customHeight="1" x14ac:dyDescent="0.25">
      <c r="B7" s="1476" t="s">
        <v>343</v>
      </c>
      <c r="C7" s="1476" t="s">
        <v>37</v>
      </c>
      <c r="D7" s="1478" t="s">
        <v>519</v>
      </c>
      <c r="E7" s="1479"/>
      <c r="F7" s="1480"/>
      <c r="G7" s="1478" t="s">
        <v>520</v>
      </c>
      <c r="H7" s="1479"/>
      <c r="I7" s="1480"/>
      <c r="J7" s="1478" t="s">
        <v>521</v>
      </c>
      <c r="K7" s="1479"/>
      <c r="L7" s="1479"/>
      <c r="M7" s="1479"/>
      <c r="N7" s="1480"/>
      <c r="O7" s="588" t="s">
        <v>940</v>
      </c>
      <c r="P7" s="588" t="s">
        <v>941</v>
      </c>
      <c r="Q7" s="588" t="s">
        <v>945</v>
      </c>
      <c r="R7" s="588" t="s">
        <v>942</v>
      </c>
      <c r="S7" s="588" t="s">
        <v>944</v>
      </c>
    </row>
    <row r="8" spans="2:26" ht="43.5" customHeight="1" x14ac:dyDescent="0.25">
      <c r="B8" s="1522"/>
      <c r="C8" s="1522"/>
      <c r="D8" s="587" t="s">
        <v>982</v>
      </c>
      <c r="E8" s="589" t="s">
        <v>79</v>
      </c>
      <c r="F8" s="589" t="s">
        <v>459</v>
      </c>
      <c r="G8" s="587" t="s">
        <v>982</v>
      </c>
      <c r="H8" s="589" t="s">
        <v>79</v>
      </c>
      <c r="I8" s="589" t="s">
        <v>459</v>
      </c>
      <c r="J8" s="589" t="s">
        <v>982</v>
      </c>
      <c r="K8" s="589" t="s">
        <v>449</v>
      </c>
      <c r="L8" s="589" t="s">
        <v>455</v>
      </c>
      <c r="M8" s="589" t="s">
        <v>80</v>
      </c>
      <c r="N8" s="589" t="s">
        <v>460</v>
      </c>
      <c r="O8" s="589" t="s">
        <v>943</v>
      </c>
      <c r="P8" s="589" t="s">
        <v>943</v>
      </c>
      <c r="Q8" s="589" t="s">
        <v>943</v>
      </c>
      <c r="R8" s="589" t="s">
        <v>943</v>
      </c>
      <c r="S8" s="589" t="s">
        <v>943</v>
      </c>
    </row>
    <row r="9" spans="2:26" ht="19.5" customHeight="1" x14ac:dyDescent="0.25">
      <c r="B9" s="1522"/>
      <c r="C9" s="1522"/>
      <c r="D9" s="589" t="s">
        <v>81</v>
      </c>
      <c r="E9" s="589" t="s">
        <v>82</v>
      </c>
      <c r="F9" s="589" t="s">
        <v>692</v>
      </c>
      <c r="G9" s="589" t="s">
        <v>397</v>
      </c>
      <c r="H9" s="589" t="s">
        <v>414</v>
      </c>
      <c r="I9" s="589" t="s">
        <v>465</v>
      </c>
      <c r="J9" s="589" t="s">
        <v>415</v>
      </c>
      <c r="K9" s="589" t="s">
        <v>416</v>
      </c>
      <c r="L9" s="589" t="s">
        <v>603</v>
      </c>
      <c r="M9" s="589" t="s">
        <v>693</v>
      </c>
      <c r="N9" s="589" t="s">
        <v>516</v>
      </c>
      <c r="O9" s="589" t="s">
        <v>605</v>
      </c>
      <c r="P9" s="589" t="s">
        <v>606</v>
      </c>
      <c r="Q9" s="589" t="s">
        <v>607</v>
      </c>
      <c r="R9" s="589" t="s">
        <v>672</v>
      </c>
      <c r="S9" s="589" t="s">
        <v>608</v>
      </c>
    </row>
    <row r="10" spans="2:26" x14ac:dyDescent="0.25">
      <c r="B10" s="101"/>
      <c r="C10" s="636"/>
      <c r="D10" s="104"/>
      <c r="E10" s="104"/>
      <c r="F10" s="104"/>
      <c r="G10" s="104"/>
      <c r="H10" s="23"/>
      <c r="I10" s="23"/>
      <c r="J10" s="23"/>
      <c r="K10" s="23"/>
      <c r="L10" s="23"/>
      <c r="M10" s="23"/>
      <c r="N10" s="23"/>
      <c r="O10" s="23"/>
      <c r="P10" s="23"/>
      <c r="Q10" s="23"/>
      <c r="R10" s="23"/>
      <c r="S10" s="23"/>
    </row>
    <row r="11" spans="2:26" x14ac:dyDescent="0.25">
      <c r="B11" s="101">
        <v>1</v>
      </c>
      <c r="C11" s="634" t="s">
        <v>985</v>
      </c>
      <c r="D11" s="635"/>
      <c r="E11" s="373">
        <v>0</v>
      </c>
      <c r="F11" s="373">
        <f>E11-D11</f>
        <v>0</v>
      </c>
      <c r="G11" s="373"/>
      <c r="H11" s="373">
        <v>0.365078864</v>
      </c>
      <c r="I11" s="352">
        <f>H11-G11</f>
        <v>0.365078864</v>
      </c>
      <c r="J11" s="352"/>
      <c r="K11" s="373">
        <v>0</v>
      </c>
      <c r="L11" s="373">
        <v>0</v>
      </c>
      <c r="M11" s="352">
        <f t="shared" ref="M11:M16" si="0">K11+L11</f>
        <v>0</v>
      </c>
      <c r="N11" s="352">
        <f>M11-J11</f>
        <v>0</v>
      </c>
      <c r="O11" s="352"/>
      <c r="P11" s="352"/>
      <c r="Q11" s="352"/>
      <c r="R11" s="352"/>
      <c r="S11" s="352"/>
    </row>
    <row r="12" spans="2:26" x14ac:dyDescent="0.25">
      <c r="B12" s="101">
        <f>+B11+1</f>
        <v>2</v>
      </c>
      <c r="C12" s="633" t="s">
        <v>986</v>
      </c>
      <c r="D12" s="574"/>
      <c r="E12" s="373">
        <v>0.92290042399999994</v>
      </c>
      <c r="F12" s="373"/>
      <c r="G12" s="574">
        <f>555.84/553.7*H12</f>
        <v>0</v>
      </c>
      <c r="H12" s="373">
        <v>0</v>
      </c>
      <c r="I12" s="352"/>
      <c r="J12" s="574">
        <f>555.84/541.19*M12</f>
        <v>0</v>
      </c>
      <c r="K12" s="373">
        <v>0</v>
      </c>
      <c r="L12" s="373">
        <v>0</v>
      </c>
      <c r="M12" s="352">
        <f t="shared" si="0"/>
        <v>0</v>
      </c>
      <c r="N12" s="352"/>
      <c r="O12" s="574"/>
      <c r="P12" s="352"/>
      <c r="Q12" s="574"/>
      <c r="R12" s="352"/>
      <c r="S12" s="352"/>
    </row>
    <row r="13" spans="2:26" x14ac:dyDescent="0.25">
      <c r="B13" s="101">
        <f t="shared" ref="B13:B26" si="1">+B12+1</f>
        <v>3</v>
      </c>
      <c r="C13" s="633" t="s">
        <v>987</v>
      </c>
      <c r="D13" s="373"/>
      <c r="E13" s="373">
        <v>0</v>
      </c>
      <c r="F13" s="373">
        <f t="shared" ref="F13:F24" si="2">E13-D13</f>
        <v>0</v>
      </c>
      <c r="G13" s="373"/>
      <c r="H13" s="373">
        <v>0</v>
      </c>
      <c r="I13" s="352">
        <f t="shared" ref="I13:I24" si="3">H13-G13</f>
        <v>0</v>
      </c>
      <c r="J13" s="352"/>
      <c r="K13" s="373">
        <v>0</v>
      </c>
      <c r="L13" s="373">
        <v>0</v>
      </c>
      <c r="M13" s="352">
        <f t="shared" si="0"/>
        <v>0</v>
      </c>
      <c r="N13" s="352">
        <f t="shared" ref="N13:N25" si="4">M13-J13</f>
        <v>0</v>
      </c>
      <c r="O13" s="352"/>
      <c r="P13" s="352"/>
      <c r="Q13" s="352"/>
      <c r="R13" s="352"/>
      <c r="S13" s="352"/>
    </row>
    <row r="14" spans="2:26" x14ac:dyDescent="0.25">
      <c r="B14" s="101">
        <f t="shared" si="1"/>
        <v>4</v>
      </c>
      <c r="C14" s="13" t="s">
        <v>992</v>
      </c>
      <c r="D14" s="373"/>
      <c r="E14" s="1123">
        <v>233.345</v>
      </c>
      <c r="F14" s="373">
        <f t="shared" si="2"/>
        <v>233.345</v>
      </c>
      <c r="G14" s="373"/>
      <c r="H14" s="373">
        <v>230.11179999999999</v>
      </c>
      <c r="I14" s="352">
        <f t="shared" si="3"/>
        <v>230.11179999999999</v>
      </c>
      <c r="J14" s="352"/>
      <c r="K14" s="373">
        <v>114.10600000235998</v>
      </c>
      <c r="L14" s="373">
        <v>114.10600000235998</v>
      </c>
      <c r="M14" s="352">
        <f t="shared" si="0"/>
        <v>228.21200000471995</v>
      </c>
      <c r="N14" s="352">
        <f t="shared" si="4"/>
        <v>228.21200000471995</v>
      </c>
      <c r="O14" s="352">
        <v>226.3476</v>
      </c>
      <c r="P14" s="352">
        <v>237.91159999999999</v>
      </c>
      <c r="Q14" s="352">
        <v>243.52839999999998</v>
      </c>
      <c r="R14" s="352">
        <v>228.93179999999998</v>
      </c>
      <c r="S14" s="352">
        <v>225.62780000000001</v>
      </c>
    </row>
    <row r="15" spans="2:26" x14ac:dyDescent="0.25">
      <c r="B15" s="101">
        <f t="shared" si="1"/>
        <v>5</v>
      </c>
      <c r="C15" s="633" t="s">
        <v>796</v>
      </c>
      <c r="D15" s="373"/>
      <c r="E15" s="373">
        <v>0</v>
      </c>
      <c r="F15" s="373">
        <f t="shared" si="2"/>
        <v>0</v>
      </c>
      <c r="G15" s="373"/>
      <c r="H15" s="373">
        <v>0</v>
      </c>
      <c r="I15" s="352">
        <f t="shared" si="3"/>
        <v>0</v>
      </c>
      <c r="J15" s="352"/>
      <c r="K15" s="373">
        <v>0</v>
      </c>
      <c r="L15" s="373">
        <v>0</v>
      </c>
      <c r="M15" s="352">
        <f t="shared" si="0"/>
        <v>0</v>
      </c>
      <c r="N15" s="352">
        <f t="shared" si="4"/>
        <v>0</v>
      </c>
      <c r="O15" s="1685">
        <v>0.37168968800000002</v>
      </c>
      <c r="P15" s="1685">
        <v>0.37168968800000002</v>
      </c>
      <c r="Q15" s="1685">
        <v>0.37168968800000002</v>
      </c>
      <c r="R15" s="1685">
        <v>0.37168968800000002</v>
      </c>
      <c r="S15" s="1685">
        <v>0.37168968800000002</v>
      </c>
    </row>
    <row r="16" spans="2:26" x14ac:dyDescent="0.25">
      <c r="B16" s="101">
        <f t="shared" si="1"/>
        <v>6</v>
      </c>
      <c r="C16" s="633" t="s">
        <v>792</v>
      </c>
      <c r="D16" s="373"/>
      <c r="E16" s="373">
        <v>0</v>
      </c>
      <c r="F16" s="373">
        <f t="shared" si="2"/>
        <v>0</v>
      </c>
      <c r="G16" s="373"/>
      <c r="H16" s="373">
        <v>0</v>
      </c>
      <c r="I16" s="352">
        <f t="shared" si="3"/>
        <v>0</v>
      </c>
      <c r="J16" s="352"/>
      <c r="K16" s="373">
        <v>0</v>
      </c>
      <c r="L16" s="373">
        <v>0</v>
      </c>
      <c r="M16" s="352">
        <f t="shared" si="0"/>
        <v>0</v>
      </c>
      <c r="N16" s="352">
        <f t="shared" si="4"/>
        <v>0</v>
      </c>
      <c r="O16" s="1686"/>
      <c r="P16" s="1686"/>
      <c r="Q16" s="1686"/>
      <c r="R16" s="1686"/>
      <c r="S16" s="1686"/>
    </row>
    <row r="17" spans="2:19" x14ac:dyDescent="0.25">
      <c r="B17" s="101">
        <f t="shared" si="1"/>
        <v>7</v>
      </c>
      <c r="C17" s="633" t="s">
        <v>793</v>
      </c>
      <c r="D17" s="373"/>
      <c r="E17" s="373">
        <v>0</v>
      </c>
      <c r="F17" s="373">
        <f t="shared" si="2"/>
        <v>0</v>
      </c>
      <c r="G17" s="373"/>
      <c r="H17" s="373">
        <v>0</v>
      </c>
      <c r="I17" s="373">
        <f t="shared" si="3"/>
        <v>0</v>
      </c>
      <c r="J17" s="352"/>
      <c r="K17" s="373">
        <v>0</v>
      </c>
      <c r="L17" s="373">
        <v>0</v>
      </c>
      <c r="M17" s="373">
        <f t="shared" ref="M17:M18" si="5">L17-K17</f>
        <v>0</v>
      </c>
      <c r="N17" s="352">
        <f t="shared" si="4"/>
        <v>0</v>
      </c>
      <c r="O17" s="1686"/>
      <c r="P17" s="1686"/>
      <c r="Q17" s="1686"/>
      <c r="R17" s="1686"/>
      <c r="S17" s="1686"/>
    </row>
    <row r="18" spans="2:19" x14ac:dyDescent="0.25">
      <c r="B18" s="101">
        <f t="shared" si="1"/>
        <v>8</v>
      </c>
      <c r="C18" s="633" t="s">
        <v>988</v>
      </c>
      <c r="D18" s="373"/>
      <c r="E18" s="373">
        <v>0</v>
      </c>
      <c r="F18" s="373">
        <f t="shared" si="2"/>
        <v>0</v>
      </c>
      <c r="G18" s="373"/>
      <c r="H18" s="373">
        <v>0</v>
      </c>
      <c r="I18" s="373">
        <f t="shared" si="3"/>
        <v>0</v>
      </c>
      <c r="J18" s="352"/>
      <c r="K18" s="373">
        <v>0</v>
      </c>
      <c r="L18" s="373">
        <v>0</v>
      </c>
      <c r="M18" s="373">
        <f t="shared" si="5"/>
        <v>0</v>
      </c>
      <c r="N18" s="352">
        <f t="shared" si="4"/>
        <v>0</v>
      </c>
      <c r="O18" s="1686"/>
      <c r="P18" s="1686"/>
      <c r="Q18" s="1686"/>
      <c r="R18" s="1686"/>
      <c r="S18" s="1686"/>
    </row>
    <row r="19" spans="2:19" x14ac:dyDescent="0.25">
      <c r="B19" s="101">
        <f t="shared" si="1"/>
        <v>9</v>
      </c>
      <c r="C19" s="633" t="s">
        <v>794</v>
      </c>
      <c r="D19" s="373"/>
      <c r="E19" s="373">
        <v>0</v>
      </c>
      <c r="F19" s="373">
        <f t="shared" si="2"/>
        <v>0</v>
      </c>
      <c r="G19" s="373"/>
      <c r="H19" s="373">
        <v>0</v>
      </c>
      <c r="I19" s="352">
        <f t="shared" si="3"/>
        <v>0</v>
      </c>
      <c r="J19" s="352"/>
      <c r="K19" s="373">
        <v>0</v>
      </c>
      <c r="L19" s="373">
        <v>0</v>
      </c>
      <c r="M19" s="352">
        <f t="shared" ref="M19:M24" si="6">K19+L19</f>
        <v>0</v>
      </c>
      <c r="N19" s="352">
        <f t="shared" si="4"/>
        <v>0</v>
      </c>
      <c r="O19" s="1686"/>
      <c r="P19" s="1686"/>
      <c r="Q19" s="1686"/>
      <c r="R19" s="1686"/>
      <c r="S19" s="1686"/>
    </row>
    <row r="20" spans="2:19" x14ac:dyDescent="0.25">
      <c r="B20" s="101">
        <f t="shared" si="1"/>
        <v>10</v>
      </c>
      <c r="C20" s="633" t="s">
        <v>795</v>
      </c>
      <c r="D20" s="373"/>
      <c r="E20" s="373">
        <v>2.3187928999999999E-2</v>
      </c>
      <c r="F20" s="373">
        <f t="shared" si="2"/>
        <v>2.3187928999999999E-2</v>
      </c>
      <c r="G20" s="373"/>
      <c r="H20" s="373">
        <v>6.6108239999999995E-3</v>
      </c>
      <c r="I20" s="352">
        <f t="shared" si="3"/>
        <v>6.6108239999999995E-3</v>
      </c>
      <c r="J20" s="352"/>
      <c r="K20" s="373">
        <v>0</v>
      </c>
      <c r="L20" s="373">
        <v>0</v>
      </c>
      <c r="M20" s="352">
        <f t="shared" si="6"/>
        <v>0</v>
      </c>
      <c r="N20" s="352">
        <f t="shared" si="4"/>
        <v>0</v>
      </c>
      <c r="O20" s="1686"/>
      <c r="P20" s="1686"/>
      <c r="Q20" s="1686"/>
      <c r="R20" s="1686"/>
      <c r="S20" s="1686"/>
    </row>
    <row r="21" spans="2:19" x14ac:dyDescent="0.25">
      <c r="B21" s="101">
        <f t="shared" si="1"/>
        <v>11</v>
      </c>
      <c r="C21" s="633" t="s">
        <v>989</v>
      </c>
      <c r="D21" s="411"/>
      <c r="E21" s="411">
        <v>0</v>
      </c>
      <c r="F21" s="373">
        <f t="shared" si="2"/>
        <v>0</v>
      </c>
      <c r="G21" s="411"/>
      <c r="H21" s="411">
        <v>0</v>
      </c>
      <c r="I21" s="352">
        <f t="shared" si="3"/>
        <v>0</v>
      </c>
      <c r="J21" s="352"/>
      <c r="K21" s="411">
        <v>0</v>
      </c>
      <c r="L21" s="411">
        <v>0</v>
      </c>
      <c r="M21" s="352">
        <f t="shared" si="6"/>
        <v>0</v>
      </c>
      <c r="N21" s="352">
        <f t="shared" si="4"/>
        <v>0</v>
      </c>
      <c r="O21" s="1686"/>
      <c r="P21" s="1686"/>
      <c r="Q21" s="1686"/>
      <c r="R21" s="1686"/>
      <c r="S21" s="1686"/>
    </row>
    <row r="22" spans="2:19" x14ac:dyDescent="0.25">
      <c r="B22" s="101">
        <f t="shared" si="1"/>
        <v>12</v>
      </c>
      <c r="C22" s="633" t="s">
        <v>799</v>
      </c>
      <c r="D22" s="373"/>
      <c r="E22" s="373">
        <v>0</v>
      </c>
      <c r="F22" s="373">
        <f t="shared" si="2"/>
        <v>0</v>
      </c>
      <c r="G22" s="373"/>
      <c r="H22" s="373">
        <v>0</v>
      </c>
      <c r="I22" s="352">
        <f t="shared" si="3"/>
        <v>0</v>
      </c>
      <c r="J22" s="352"/>
      <c r="K22" s="373">
        <v>0</v>
      </c>
      <c r="L22" s="373">
        <v>0</v>
      </c>
      <c r="M22" s="352">
        <f t="shared" si="6"/>
        <v>0</v>
      </c>
      <c r="N22" s="352">
        <f t="shared" si="4"/>
        <v>0</v>
      </c>
      <c r="O22" s="1686"/>
      <c r="P22" s="1686"/>
      <c r="Q22" s="1686"/>
      <c r="R22" s="1686"/>
      <c r="S22" s="1686"/>
    </row>
    <row r="23" spans="2:19" x14ac:dyDescent="0.25">
      <c r="B23" s="101">
        <f t="shared" si="1"/>
        <v>13</v>
      </c>
      <c r="C23" s="633" t="s">
        <v>800</v>
      </c>
      <c r="D23" s="373"/>
      <c r="E23" s="373">
        <v>0</v>
      </c>
      <c r="F23" s="373">
        <f t="shared" si="2"/>
        <v>0</v>
      </c>
      <c r="G23" s="373"/>
      <c r="H23" s="373">
        <v>0</v>
      </c>
      <c r="I23" s="352">
        <f t="shared" si="3"/>
        <v>0</v>
      </c>
      <c r="J23" s="352"/>
      <c r="K23" s="373">
        <v>0</v>
      </c>
      <c r="L23" s="373">
        <v>0</v>
      </c>
      <c r="M23" s="352">
        <f t="shared" si="6"/>
        <v>0</v>
      </c>
      <c r="N23" s="352">
        <f t="shared" si="4"/>
        <v>0</v>
      </c>
      <c r="O23" s="1686"/>
      <c r="P23" s="1686"/>
      <c r="Q23" s="1686"/>
      <c r="R23" s="1686"/>
      <c r="S23" s="1686"/>
    </row>
    <row r="24" spans="2:19" x14ac:dyDescent="0.25">
      <c r="B24" s="101">
        <f t="shared" si="1"/>
        <v>14</v>
      </c>
      <c r="C24" s="633" t="s">
        <v>801</v>
      </c>
      <c r="D24" s="373"/>
      <c r="E24" s="373">
        <v>0</v>
      </c>
      <c r="F24" s="373">
        <f t="shared" si="2"/>
        <v>0</v>
      </c>
      <c r="G24" s="373"/>
      <c r="H24" s="373">
        <v>0</v>
      </c>
      <c r="I24" s="352">
        <f t="shared" si="3"/>
        <v>0</v>
      </c>
      <c r="J24" s="352"/>
      <c r="K24" s="373">
        <v>0</v>
      </c>
      <c r="L24" s="373">
        <v>0</v>
      </c>
      <c r="M24" s="352">
        <f t="shared" si="6"/>
        <v>0</v>
      </c>
      <c r="N24" s="352">
        <f t="shared" si="4"/>
        <v>0</v>
      </c>
      <c r="O24" s="1687"/>
      <c r="P24" s="1687"/>
      <c r="Q24" s="1687"/>
      <c r="R24" s="1687"/>
      <c r="S24" s="1687"/>
    </row>
    <row r="25" spans="2:19" x14ac:dyDescent="0.25">
      <c r="B25" s="101">
        <f t="shared" si="1"/>
        <v>15</v>
      </c>
      <c r="C25" s="634"/>
      <c r="D25" s="373"/>
      <c r="E25" s="373"/>
      <c r="F25" s="373"/>
      <c r="G25" s="373"/>
      <c r="H25" s="373"/>
      <c r="I25" s="352"/>
      <c r="J25" s="352"/>
      <c r="K25" s="373"/>
      <c r="L25" s="373"/>
      <c r="M25" s="352"/>
      <c r="N25" s="352">
        <f t="shared" si="4"/>
        <v>0</v>
      </c>
      <c r="O25" s="932"/>
      <c r="P25" s="932"/>
      <c r="Q25" s="932"/>
      <c r="R25" s="932"/>
      <c r="S25" s="932"/>
    </row>
    <row r="26" spans="2:19" x14ac:dyDescent="0.25">
      <c r="B26" s="101">
        <f t="shared" si="1"/>
        <v>16</v>
      </c>
      <c r="C26" s="559"/>
      <c r="D26" s="373"/>
      <c r="E26" s="373"/>
      <c r="F26" s="373"/>
      <c r="G26" s="373"/>
      <c r="H26" s="373"/>
      <c r="I26" s="352"/>
      <c r="J26" s="352"/>
      <c r="K26" s="373"/>
      <c r="L26" s="373"/>
      <c r="M26" s="352"/>
      <c r="N26" s="352"/>
      <c r="O26" s="933"/>
      <c r="P26" s="933"/>
      <c r="Q26" s="933"/>
      <c r="R26" s="933"/>
      <c r="S26" s="933"/>
    </row>
    <row r="27" spans="2:19" s="22" customFormat="1" x14ac:dyDescent="0.25">
      <c r="B27" s="120"/>
      <c r="C27" s="106" t="s">
        <v>3</v>
      </c>
      <c r="D27" s="411">
        <v>233.54900584872681</v>
      </c>
      <c r="E27" s="411">
        <f>SUM(E11:E26)</f>
        <v>234.29108835299999</v>
      </c>
      <c r="F27" s="373">
        <f>E27-D27</f>
        <v>0.7420825042731849</v>
      </c>
      <c r="G27" s="411">
        <v>233.50378439325468</v>
      </c>
      <c r="H27" s="411">
        <f t="shared" ref="H27:L27" si="7">SUM(H11:H25)</f>
        <v>230.48348968799999</v>
      </c>
      <c r="I27" s="373">
        <f>H27-G27</f>
        <v>-3.0202947052546847</v>
      </c>
      <c r="J27" s="411">
        <v>226.59932081807082</v>
      </c>
      <c r="K27" s="411">
        <f t="shared" si="7"/>
        <v>114.10600000235998</v>
      </c>
      <c r="L27" s="411">
        <f t="shared" si="7"/>
        <v>114.10600000235998</v>
      </c>
      <c r="M27" s="352">
        <f t="shared" ref="M27" si="8">K27+L27</f>
        <v>228.21200000471995</v>
      </c>
      <c r="N27" s="352">
        <f t="shared" ref="N27" si="9">M27-J27</f>
        <v>1.6126791866491317</v>
      </c>
      <c r="O27" s="891">
        <f>SUM(O10:O26)</f>
        <v>226.719289688</v>
      </c>
      <c r="P27" s="891">
        <f t="shared" ref="P27:S27" si="10">SUM(P10:P26)</f>
        <v>238.283289688</v>
      </c>
      <c r="Q27" s="891">
        <f t="shared" si="10"/>
        <v>243.90008968799998</v>
      </c>
      <c r="R27" s="891">
        <f t="shared" si="10"/>
        <v>229.30348968799998</v>
      </c>
      <c r="S27" s="891">
        <f t="shared" si="10"/>
        <v>225.99948968800001</v>
      </c>
    </row>
    <row r="29" spans="2:19" x14ac:dyDescent="0.25">
      <c r="B29" s="13" t="s">
        <v>1454</v>
      </c>
    </row>
  </sheetData>
  <mergeCells count="10">
    <mergeCell ref="B7:B9"/>
    <mergeCell ref="C7:C9"/>
    <mergeCell ref="J7:N7"/>
    <mergeCell ref="G7:I7"/>
    <mergeCell ref="D7:F7"/>
    <mergeCell ref="O15:O24"/>
    <mergeCell ref="P15:P24"/>
    <mergeCell ref="Q15:Q24"/>
    <mergeCell ref="R15:R24"/>
    <mergeCell ref="S15:S24"/>
  </mergeCells>
  <pageMargins left="1.02" right="0.25" top="1" bottom="1" header="0.25" footer="0.25"/>
  <pageSetup paperSize="9" scale="37" orientation="landscape" r:id="rId1"/>
  <headerFooter alignWithMargins="0">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V29"/>
  <sheetViews>
    <sheetView showGridLines="0" view="pageBreakPreview" zoomScale="70" zoomScaleNormal="75" zoomScaleSheetLayoutView="70" workbookViewId="0">
      <selection activeCell="J27" sqref="J27"/>
    </sheetView>
  </sheetViews>
  <sheetFormatPr defaultColWidth="9.36328125" defaultRowHeight="14" x14ac:dyDescent="0.3"/>
  <cols>
    <col min="1" max="1" width="4.36328125" style="5" customWidth="1"/>
    <col min="2" max="2" width="6.36328125" style="5" customWidth="1"/>
    <col min="3" max="3" width="61.6328125" style="5" customWidth="1"/>
    <col min="4" max="10" width="14.36328125" style="5" customWidth="1"/>
    <col min="11" max="13" width="16.453125" style="5" customWidth="1"/>
    <col min="14" max="22" width="15.6328125" style="5" customWidth="1"/>
    <col min="23" max="16384" width="9.36328125" style="5"/>
  </cols>
  <sheetData>
    <row r="1" spans="2:22" x14ac:dyDescent="0.3">
      <c r="B1" s="52"/>
    </row>
    <row r="2" spans="2:22" x14ac:dyDescent="0.3">
      <c r="B2" s="1470" t="str">
        <f>Index!B2</f>
        <v xml:space="preserve">      Maharashtra State Power Generation Company Ltd.</v>
      </c>
      <c r="C2" s="1688"/>
      <c r="D2" s="1688"/>
      <c r="E2" s="1688"/>
      <c r="F2" s="1688"/>
      <c r="G2" s="1688"/>
      <c r="H2" s="1688"/>
      <c r="I2" s="1688"/>
      <c r="J2" s="1688"/>
      <c r="K2" s="1688"/>
      <c r="L2" s="1688"/>
      <c r="M2" s="1688"/>
      <c r="N2" s="1688"/>
      <c r="O2" s="1688"/>
      <c r="P2" s="1688"/>
      <c r="Q2" s="1688"/>
      <c r="R2" s="1688"/>
      <c r="S2" s="1688"/>
      <c r="T2" s="1688"/>
      <c r="U2" s="1688"/>
      <c r="V2" s="1688"/>
    </row>
    <row r="3" spans="2:22" x14ac:dyDescent="0.3">
      <c r="B3" s="1470" t="str">
        <f>Index!B3</f>
        <v>MYT Petition Formats for SHP Hydro</v>
      </c>
      <c r="C3" s="1688"/>
      <c r="D3" s="1688"/>
      <c r="E3" s="1688"/>
      <c r="F3" s="1688"/>
      <c r="G3" s="1688"/>
      <c r="H3" s="1688"/>
      <c r="I3" s="1688"/>
      <c r="J3" s="1688"/>
      <c r="K3" s="1688"/>
      <c r="L3" s="1688"/>
      <c r="M3" s="1688"/>
      <c r="N3" s="1688"/>
      <c r="O3" s="1688"/>
      <c r="P3" s="1688"/>
      <c r="Q3" s="1688"/>
      <c r="R3" s="1688"/>
      <c r="S3" s="1688"/>
      <c r="T3" s="1688"/>
      <c r="U3" s="1688"/>
      <c r="V3" s="1688"/>
    </row>
    <row r="4" spans="2:22" s="77" customFormat="1" x14ac:dyDescent="0.3">
      <c r="B4" s="1483" t="s">
        <v>322</v>
      </c>
      <c r="C4" s="1689"/>
      <c r="D4" s="1689"/>
      <c r="E4" s="1689"/>
      <c r="F4" s="1689"/>
      <c r="G4" s="1689"/>
      <c r="H4" s="1689"/>
      <c r="I4" s="1689"/>
      <c r="J4" s="1689"/>
      <c r="K4" s="1689"/>
      <c r="L4" s="1689"/>
      <c r="M4" s="1689"/>
      <c r="N4" s="1689"/>
      <c r="O4" s="1689"/>
      <c r="P4" s="1689"/>
      <c r="Q4" s="1689"/>
      <c r="R4" s="1689"/>
      <c r="S4" s="1689"/>
      <c r="T4" s="1689"/>
      <c r="U4" s="1689"/>
      <c r="V4" s="1689"/>
    </row>
    <row r="5" spans="2:22" x14ac:dyDescent="0.3">
      <c r="B5" s="18"/>
      <c r="C5" s="18"/>
    </row>
    <row r="6" spans="2:22" x14ac:dyDescent="0.3">
      <c r="C6" s="60"/>
      <c r="N6" s="60"/>
      <c r="P6" s="6"/>
      <c r="Q6" s="6"/>
      <c r="T6" s="22" t="s">
        <v>10</v>
      </c>
    </row>
    <row r="7" spans="2:22" s="34" customFormat="1" ht="17.25" customHeight="1" x14ac:dyDescent="0.3">
      <c r="B7" s="1581" t="s">
        <v>343</v>
      </c>
      <c r="C7" s="1581" t="s">
        <v>37</v>
      </c>
      <c r="D7" s="1478" t="s">
        <v>519</v>
      </c>
      <c r="E7" s="1479"/>
      <c r="F7" s="1480"/>
      <c r="G7" s="1478" t="s">
        <v>520</v>
      </c>
      <c r="H7" s="1479"/>
      <c r="I7" s="1480"/>
      <c r="J7" s="1478" t="s">
        <v>521</v>
      </c>
      <c r="K7" s="1479"/>
      <c r="L7" s="1479"/>
      <c r="M7" s="1479"/>
      <c r="N7" s="1480"/>
      <c r="O7" s="588" t="s">
        <v>940</v>
      </c>
      <c r="P7" s="588" t="s">
        <v>941</v>
      </c>
      <c r="Q7" s="588" t="s">
        <v>945</v>
      </c>
      <c r="R7" s="588" t="s">
        <v>942</v>
      </c>
      <c r="S7" s="588" t="s">
        <v>944</v>
      </c>
      <c r="T7" s="1476" t="s">
        <v>27</v>
      </c>
    </row>
    <row r="8" spans="2:22" s="35" customFormat="1" ht="28" x14ac:dyDescent="0.25">
      <c r="B8" s="1690"/>
      <c r="C8" s="1690"/>
      <c r="D8" s="955" t="s">
        <v>993</v>
      </c>
      <c r="E8" s="589" t="s">
        <v>79</v>
      </c>
      <c r="F8" s="589" t="s">
        <v>459</v>
      </c>
      <c r="G8" s="955" t="s">
        <v>993</v>
      </c>
      <c r="H8" s="589" t="s">
        <v>79</v>
      </c>
      <c r="I8" s="589" t="s">
        <v>459</v>
      </c>
      <c r="J8" s="955" t="s">
        <v>993</v>
      </c>
      <c r="K8" s="589" t="s">
        <v>449</v>
      </c>
      <c r="L8" s="589" t="s">
        <v>455</v>
      </c>
      <c r="M8" s="589" t="s">
        <v>80</v>
      </c>
      <c r="N8" s="589" t="s">
        <v>460</v>
      </c>
      <c r="O8" s="589" t="s">
        <v>943</v>
      </c>
      <c r="P8" s="589" t="s">
        <v>943</v>
      </c>
      <c r="Q8" s="589" t="s">
        <v>943</v>
      </c>
      <c r="R8" s="589" t="s">
        <v>943</v>
      </c>
      <c r="S8" s="589" t="s">
        <v>943</v>
      </c>
      <c r="T8" s="1476"/>
    </row>
    <row r="9" spans="2:22" s="6" customFormat="1" x14ac:dyDescent="0.3">
      <c r="B9" s="1690"/>
      <c r="C9" s="1690"/>
      <c r="D9" s="589" t="s">
        <v>81</v>
      </c>
      <c r="E9" s="589" t="s">
        <v>82</v>
      </c>
      <c r="F9" s="589" t="s">
        <v>692</v>
      </c>
      <c r="G9" s="589" t="s">
        <v>397</v>
      </c>
      <c r="H9" s="589" t="s">
        <v>414</v>
      </c>
      <c r="I9" s="589" t="s">
        <v>465</v>
      </c>
      <c r="J9" s="589" t="s">
        <v>415</v>
      </c>
      <c r="K9" s="589" t="s">
        <v>416</v>
      </c>
      <c r="L9" s="589" t="s">
        <v>603</v>
      </c>
      <c r="M9" s="589" t="s">
        <v>693</v>
      </c>
      <c r="N9" s="589" t="s">
        <v>516</v>
      </c>
      <c r="O9" s="589" t="s">
        <v>605</v>
      </c>
      <c r="P9" s="589" t="s">
        <v>606</v>
      </c>
      <c r="Q9" s="589" t="s">
        <v>607</v>
      </c>
      <c r="R9" s="589" t="s">
        <v>672</v>
      </c>
      <c r="S9" s="589" t="s">
        <v>608</v>
      </c>
      <c r="T9" s="1477"/>
    </row>
    <row r="10" spans="2:22" s="6" customFormat="1" ht="15.75" customHeight="1" x14ac:dyDescent="0.3">
      <c r="B10" s="96">
        <v>1</v>
      </c>
      <c r="C10" s="889" t="s">
        <v>487</v>
      </c>
      <c r="D10" s="352"/>
      <c r="E10" s="352"/>
      <c r="F10" s="352"/>
      <c r="G10" s="352"/>
      <c r="H10" s="352"/>
      <c r="I10" s="352"/>
      <c r="J10" s="352"/>
      <c r="K10" s="478"/>
      <c r="L10" s="478"/>
      <c r="M10" s="352">
        <f>K10+L10</f>
        <v>0</v>
      </c>
      <c r="N10" s="352"/>
      <c r="O10" s="478"/>
      <c r="P10" s="478"/>
      <c r="Q10" s="478"/>
      <c r="R10" s="478"/>
      <c r="S10" s="478"/>
      <c r="T10" s="23"/>
    </row>
    <row r="11" spans="2:22" s="6" customFormat="1" ht="15.75" customHeight="1" x14ac:dyDescent="0.3">
      <c r="B11" s="96">
        <f>B10+1</f>
        <v>2</v>
      </c>
      <c r="C11" s="890" t="s">
        <v>486</v>
      </c>
      <c r="D11" s="352"/>
      <c r="E11" s="352">
        <v>5.6549238000000002E-2</v>
      </c>
      <c r="F11" s="352"/>
      <c r="G11" s="352"/>
      <c r="H11" s="352">
        <v>0.209531249</v>
      </c>
      <c r="I11" s="352"/>
      <c r="J11" s="352"/>
      <c r="K11" s="478">
        <v>0.1047656245</v>
      </c>
      <c r="L11" s="478">
        <v>0.1047656245</v>
      </c>
      <c r="M11" s="352">
        <f t="shared" ref="M11:M26" si="0">K11+L11</f>
        <v>0.209531249</v>
      </c>
      <c r="N11" s="352"/>
      <c r="O11" s="478"/>
      <c r="P11" s="478"/>
      <c r="Q11" s="478"/>
      <c r="R11" s="478"/>
      <c r="S11" s="478"/>
      <c r="T11" s="23"/>
    </row>
    <row r="12" spans="2:22" s="6" customFormat="1" ht="15.75" customHeight="1" x14ac:dyDescent="0.3">
      <c r="B12" s="96">
        <f t="shared" ref="B12:B27" si="1">B11+1</f>
        <v>3</v>
      </c>
      <c r="C12" s="78" t="s">
        <v>328</v>
      </c>
      <c r="D12" s="352"/>
      <c r="E12" s="352"/>
      <c r="F12" s="352"/>
      <c r="G12" s="352"/>
      <c r="H12" s="352"/>
      <c r="I12" s="352"/>
      <c r="J12" s="352"/>
      <c r="K12" s="478"/>
      <c r="L12" s="478"/>
      <c r="M12" s="352">
        <f t="shared" si="0"/>
        <v>0</v>
      </c>
      <c r="N12" s="352"/>
      <c r="O12" s="478"/>
      <c r="P12" s="478"/>
      <c r="Q12" s="478"/>
      <c r="R12" s="478"/>
      <c r="S12" s="478"/>
      <c r="T12" s="23"/>
    </row>
    <row r="13" spans="2:22" s="6" customFormat="1" ht="15.75" customHeight="1" x14ac:dyDescent="0.3">
      <c r="B13" s="96">
        <f t="shared" si="1"/>
        <v>4</v>
      </c>
      <c r="C13" s="78" t="s">
        <v>301</v>
      </c>
      <c r="D13" s="352"/>
      <c r="E13" s="352">
        <v>0</v>
      </c>
      <c r="F13" s="352"/>
      <c r="G13" s="352"/>
      <c r="H13" s="352">
        <v>0</v>
      </c>
      <c r="I13" s="352"/>
      <c r="J13" s="352"/>
      <c r="K13" s="478"/>
      <c r="L13" s="478"/>
      <c r="M13" s="352">
        <f t="shared" si="0"/>
        <v>0</v>
      </c>
      <c r="N13" s="352"/>
      <c r="O13" s="478"/>
      <c r="P13" s="478"/>
      <c r="Q13" s="478"/>
      <c r="R13" s="478"/>
      <c r="S13" s="478"/>
      <c r="T13" s="23"/>
    </row>
    <row r="14" spans="2:22" s="6" customFormat="1" ht="15.75" customHeight="1" x14ac:dyDescent="0.3">
      <c r="B14" s="96">
        <f t="shared" si="1"/>
        <v>5</v>
      </c>
      <c r="C14" s="78" t="s">
        <v>488</v>
      </c>
      <c r="D14" s="352"/>
      <c r="E14" s="352"/>
      <c r="F14" s="352"/>
      <c r="G14" s="352"/>
      <c r="H14" s="352"/>
      <c r="I14" s="352"/>
      <c r="J14" s="352"/>
      <c r="K14" s="478"/>
      <c r="L14" s="478"/>
      <c r="M14" s="352">
        <f t="shared" si="0"/>
        <v>0</v>
      </c>
      <c r="N14" s="352"/>
      <c r="O14" s="478"/>
      <c r="P14" s="478"/>
      <c r="Q14" s="478"/>
      <c r="R14" s="478"/>
      <c r="S14" s="478"/>
      <c r="T14" s="23"/>
    </row>
    <row r="15" spans="2:22" s="6" customFormat="1" ht="52.25" customHeight="1" x14ac:dyDescent="0.3">
      <c r="B15" s="96">
        <f t="shared" si="1"/>
        <v>6</v>
      </c>
      <c r="C15" s="78" t="s">
        <v>351</v>
      </c>
      <c r="D15" s="352"/>
      <c r="E15" s="352">
        <v>0</v>
      </c>
      <c r="F15" s="352"/>
      <c r="G15" s="352"/>
      <c r="H15" s="352">
        <v>0</v>
      </c>
      <c r="I15" s="352"/>
      <c r="J15" s="352"/>
      <c r="K15" s="478">
        <v>0</v>
      </c>
      <c r="L15" s="478">
        <v>0</v>
      </c>
      <c r="M15" s="352">
        <f t="shared" si="0"/>
        <v>0</v>
      </c>
      <c r="N15" s="352"/>
      <c r="O15" s="478"/>
      <c r="P15" s="478"/>
      <c r="Q15" s="478"/>
      <c r="R15" s="478"/>
      <c r="S15" s="478"/>
      <c r="T15" s="23"/>
    </row>
    <row r="16" spans="2:22" s="6" customFormat="1" ht="15.75" customHeight="1" x14ac:dyDescent="0.3">
      <c r="B16" s="96">
        <f t="shared" si="1"/>
        <v>7</v>
      </c>
      <c r="C16" s="79" t="s">
        <v>844</v>
      </c>
      <c r="D16" s="352"/>
      <c r="E16" s="637">
        <v>4.4483423000000001E-2</v>
      </c>
      <c r="F16" s="352"/>
      <c r="G16" s="352"/>
      <c r="H16" s="637">
        <v>3.8073447999999996E-2</v>
      </c>
      <c r="I16" s="352"/>
      <c r="J16" s="352"/>
      <c r="K16" s="478">
        <v>1.9036723999999998E-2</v>
      </c>
      <c r="L16" s="478">
        <v>1.9036723999999998E-2</v>
      </c>
      <c r="M16" s="352">
        <f t="shared" si="0"/>
        <v>3.8073447999999996E-2</v>
      </c>
      <c r="N16" s="352"/>
      <c r="O16" s="478"/>
      <c r="P16" s="478"/>
      <c r="Q16" s="478"/>
      <c r="R16" s="478"/>
      <c r="S16" s="478"/>
      <c r="T16" s="23"/>
    </row>
    <row r="17" spans="2:20" s="6" customFormat="1" ht="15.75" customHeight="1" x14ac:dyDescent="0.3">
      <c r="B17" s="96">
        <f t="shared" si="1"/>
        <v>8</v>
      </c>
      <c r="C17" s="79" t="s">
        <v>302</v>
      </c>
      <c r="D17" s="352"/>
      <c r="E17" s="352"/>
      <c r="F17" s="352"/>
      <c r="G17" s="352"/>
      <c r="H17" s="352"/>
      <c r="I17" s="352"/>
      <c r="J17" s="352"/>
      <c r="K17" s="478"/>
      <c r="L17" s="478"/>
      <c r="M17" s="352">
        <f t="shared" si="0"/>
        <v>0</v>
      </c>
      <c r="N17" s="352"/>
      <c r="O17" s="478"/>
      <c r="P17" s="478"/>
      <c r="Q17" s="478"/>
      <c r="R17" s="478"/>
      <c r="S17" s="478"/>
      <c r="T17" s="23"/>
    </row>
    <row r="18" spans="2:20" s="6" customFormat="1" ht="15.75" customHeight="1" x14ac:dyDescent="0.3">
      <c r="B18" s="96">
        <f t="shared" si="1"/>
        <v>9</v>
      </c>
      <c r="C18" s="79" t="s">
        <v>303</v>
      </c>
      <c r="D18" s="352"/>
      <c r="E18" s="352"/>
      <c r="F18" s="352"/>
      <c r="G18" s="352"/>
      <c r="H18" s="352"/>
      <c r="I18" s="352"/>
      <c r="J18" s="352"/>
      <c r="K18" s="478"/>
      <c r="L18" s="478"/>
      <c r="M18" s="352">
        <f t="shared" si="0"/>
        <v>0</v>
      </c>
      <c r="N18" s="352"/>
      <c r="O18" s="478"/>
      <c r="P18" s="478"/>
      <c r="Q18" s="478"/>
      <c r="R18" s="478"/>
      <c r="S18" s="478"/>
      <c r="T18" s="23"/>
    </row>
    <row r="19" spans="2:20" s="6" customFormat="1" x14ac:dyDescent="0.3">
      <c r="B19" s="96">
        <f t="shared" si="1"/>
        <v>10</v>
      </c>
      <c r="C19" s="78" t="s">
        <v>329</v>
      </c>
      <c r="D19" s="352"/>
      <c r="E19" s="352"/>
      <c r="F19" s="352"/>
      <c r="G19" s="352"/>
      <c r="H19" s="352"/>
      <c r="I19" s="352"/>
      <c r="J19" s="352"/>
      <c r="K19" s="478"/>
      <c r="L19" s="478"/>
      <c r="M19" s="352">
        <f t="shared" si="0"/>
        <v>0</v>
      </c>
      <c r="N19" s="352"/>
      <c r="O19" s="478"/>
      <c r="P19" s="478"/>
      <c r="Q19" s="478"/>
      <c r="R19" s="478"/>
      <c r="S19" s="478"/>
      <c r="T19" s="23"/>
    </row>
    <row r="20" spans="2:20" s="6" customFormat="1" x14ac:dyDescent="0.3">
      <c r="B20" s="96">
        <f t="shared" si="1"/>
        <v>11</v>
      </c>
      <c r="C20" s="79" t="s">
        <v>847</v>
      </c>
      <c r="D20" s="352"/>
      <c r="F20" s="352"/>
      <c r="G20" s="352"/>
      <c r="I20" s="352"/>
      <c r="J20" s="352"/>
      <c r="K20" s="478">
        <v>0</v>
      </c>
      <c r="L20" s="478">
        <v>0</v>
      </c>
      <c r="M20" s="352">
        <f t="shared" si="0"/>
        <v>0</v>
      </c>
      <c r="N20" s="352"/>
      <c r="O20" s="478"/>
      <c r="P20" s="478"/>
      <c r="Q20" s="478"/>
      <c r="R20" s="478"/>
      <c r="S20" s="478"/>
      <c r="T20" s="23"/>
    </row>
    <row r="21" spans="2:20" s="6" customFormat="1" ht="15.75" customHeight="1" x14ac:dyDescent="0.3">
      <c r="B21" s="96">
        <f t="shared" si="1"/>
        <v>12</v>
      </c>
      <c r="C21" s="79" t="s">
        <v>846</v>
      </c>
      <c r="D21" s="352"/>
      <c r="E21" s="352"/>
      <c r="F21" s="352"/>
      <c r="G21" s="352"/>
      <c r="H21" s="352"/>
      <c r="I21" s="352"/>
      <c r="J21" s="352"/>
      <c r="K21" s="478"/>
      <c r="L21" s="478"/>
      <c r="M21" s="352">
        <f t="shared" si="0"/>
        <v>0</v>
      </c>
      <c r="N21" s="352"/>
      <c r="O21" s="478"/>
      <c r="P21" s="478"/>
      <c r="Q21" s="478"/>
      <c r="R21" s="478"/>
      <c r="S21" s="478"/>
      <c r="T21" s="23"/>
    </row>
    <row r="22" spans="2:20" ht="58.25" customHeight="1" x14ac:dyDescent="0.3">
      <c r="B22" s="96">
        <f t="shared" si="1"/>
        <v>13</v>
      </c>
      <c r="C22" s="889" t="s">
        <v>845</v>
      </c>
      <c r="D22" s="352"/>
      <c r="E22" s="352">
        <v>0.227903472</v>
      </c>
      <c r="F22" s="352"/>
      <c r="G22" s="352"/>
      <c r="H22" s="352">
        <v>0.10716026200000001</v>
      </c>
      <c r="I22" s="352"/>
      <c r="J22" s="352"/>
      <c r="K22" s="478">
        <v>5.3580131000000003E-2</v>
      </c>
      <c r="L22" s="478">
        <v>5.3580131000000003E-2</v>
      </c>
      <c r="M22" s="352">
        <f t="shared" si="0"/>
        <v>0.10716026200000001</v>
      </c>
      <c r="N22" s="352"/>
      <c r="O22" s="478"/>
      <c r="P22" s="478"/>
      <c r="Q22" s="478"/>
      <c r="R22" s="478"/>
      <c r="S22" s="478"/>
      <c r="T22" s="23"/>
    </row>
    <row r="23" spans="2:20" ht="15.75" customHeight="1" x14ac:dyDescent="0.3">
      <c r="B23" s="96">
        <f t="shared" si="1"/>
        <v>14</v>
      </c>
      <c r="C23" s="79" t="s">
        <v>850</v>
      </c>
      <c r="D23" s="352"/>
      <c r="E23" s="352">
        <v>0</v>
      </c>
      <c r="F23" s="352"/>
      <c r="G23" s="352"/>
      <c r="H23" s="352">
        <v>0</v>
      </c>
      <c r="I23" s="352"/>
      <c r="J23" s="352"/>
      <c r="K23" s="478">
        <v>0</v>
      </c>
      <c r="L23" s="478">
        <v>0</v>
      </c>
      <c r="M23" s="352">
        <f t="shared" si="0"/>
        <v>0</v>
      </c>
      <c r="N23" s="352"/>
      <c r="O23" s="478"/>
      <c r="P23" s="478"/>
      <c r="Q23" s="478"/>
      <c r="R23" s="478"/>
      <c r="S23" s="478"/>
      <c r="T23" s="23"/>
    </row>
    <row r="24" spans="2:20" ht="15.75" customHeight="1" x14ac:dyDescent="0.3">
      <c r="B24" s="96">
        <f t="shared" si="1"/>
        <v>15</v>
      </c>
      <c r="C24" s="79" t="s">
        <v>848</v>
      </c>
      <c r="D24" s="352"/>
      <c r="E24" s="352">
        <v>0</v>
      </c>
      <c r="F24" s="352"/>
      <c r="G24" s="352"/>
      <c r="H24" s="352">
        <v>0</v>
      </c>
      <c r="I24" s="352"/>
      <c r="J24" s="352"/>
      <c r="K24" s="478">
        <v>0</v>
      </c>
      <c r="L24" s="478">
        <v>0</v>
      </c>
      <c r="M24" s="352">
        <f t="shared" si="0"/>
        <v>0</v>
      </c>
      <c r="N24" s="352"/>
      <c r="O24" s="478"/>
      <c r="P24" s="478"/>
      <c r="Q24" s="478"/>
      <c r="R24" s="478"/>
      <c r="S24" s="478"/>
      <c r="T24" s="23"/>
    </row>
    <row r="25" spans="2:20" ht="15.75" customHeight="1" x14ac:dyDescent="0.3">
      <c r="B25" s="96">
        <f t="shared" si="1"/>
        <v>16</v>
      </c>
      <c r="C25" s="79" t="s">
        <v>849</v>
      </c>
      <c r="D25" s="352"/>
      <c r="E25" s="352">
        <v>0</v>
      </c>
      <c r="F25" s="352"/>
      <c r="G25" s="352"/>
      <c r="H25" s="352">
        <v>0</v>
      </c>
      <c r="I25" s="352"/>
      <c r="J25" s="352"/>
      <c r="K25" s="478">
        <v>0</v>
      </c>
      <c r="L25" s="478">
        <v>0</v>
      </c>
      <c r="M25" s="352"/>
      <c r="N25" s="352"/>
      <c r="O25" s="478"/>
      <c r="P25" s="478"/>
      <c r="Q25" s="478"/>
      <c r="R25" s="478"/>
      <c r="S25" s="478"/>
      <c r="T25" s="23"/>
    </row>
    <row r="26" spans="2:20" ht="15.75" customHeight="1" x14ac:dyDescent="0.35">
      <c r="B26" s="96">
        <f t="shared" si="1"/>
        <v>17</v>
      </c>
      <c r="C26" s="460" t="s">
        <v>850</v>
      </c>
      <c r="D26" s="352"/>
      <c r="E26" s="352">
        <v>0</v>
      </c>
      <c r="F26" s="352"/>
      <c r="G26" s="352"/>
      <c r="H26" s="352">
        <v>0</v>
      </c>
      <c r="I26" s="352"/>
      <c r="J26" s="352"/>
      <c r="K26" s="352">
        <v>0</v>
      </c>
      <c r="L26" s="352">
        <v>0</v>
      </c>
      <c r="M26" s="352">
        <f t="shared" si="0"/>
        <v>0</v>
      </c>
      <c r="N26" s="352"/>
      <c r="O26" s="352"/>
      <c r="P26" s="352"/>
      <c r="Q26" s="352"/>
      <c r="R26" s="352"/>
      <c r="S26" s="352"/>
      <c r="T26" s="23"/>
    </row>
    <row r="27" spans="2:20" s="1" customFormat="1" x14ac:dyDescent="0.3">
      <c r="B27" s="214">
        <f t="shared" si="1"/>
        <v>18</v>
      </c>
      <c r="C27" s="70" t="s">
        <v>271</v>
      </c>
      <c r="D27" s="371">
        <v>0.31944613270189304</v>
      </c>
      <c r="E27" s="371">
        <f>SUM(E10:E26)</f>
        <v>0.32893613300000002</v>
      </c>
      <c r="F27" s="352">
        <f t="shared" ref="F27" si="2">E27-D27</f>
        <v>9.490000298106982E-3</v>
      </c>
      <c r="G27" s="371">
        <v>0.18799965607291599</v>
      </c>
      <c r="H27" s="371">
        <f>SUM(H10:H26)</f>
        <v>0.35476495899999999</v>
      </c>
      <c r="I27" s="352">
        <f t="shared" ref="I27" si="3">H27-G27</f>
        <v>0.166765302927084</v>
      </c>
      <c r="J27" s="371">
        <v>0.18799965607291599</v>
      </c>
      <c r="K27" s="371">
        <f>SUM(K10:K26)</f>
        <v>0.1773824795</v>
      </c>
      <c r="L27" s="371">
        <f>SUM(L10:L26)</f>
        <v>0.1773824795</v>
      </c>
      <c r="M27" s="352">
        <f t="shared" ref="M27" si="4">K27+L27</f>
        <v>0.35476495899999999</v>
      </c>
      <c r="N27" s="352">
        <f>M27-J27</f>
        <v>0.166765302927084</v>
      </c>
      <c r="O27" s="930">
        <v>0.35476495899999999</v>
      </c>
      <c r="P27" s="930">
        <v>0.35476495899999999</v>
      </c>
      <c r="Q27" s="930">
        <v>0.35476495899999999</v>
      </c>
      <c r="R27" s="930">
        <v>0.35476495899999999</v>
      </c>
      <c r="S27" s="930">
        <v>0.35476495899999999</v>
      </c>
      <c r="T27" s="23"/>
    </row>
    <row r="28" spans="2:20" s="1" customFormat="1" x14ac:dyDescent="0.3">
      <c r="B28" s="5"/>
      <c r="C28" s="35"/>
    </row>
    <row r="29" spans="2:20" x14ac:dyDescent="0.3">
      <c r="B29" s="711" t="s">
        <v>1451</v>
      </c>
    </row>
  </sheetData>
  <mergeCells count="9">
    <mergeCell ref="B2:V2"/>
    <mergeCell ref="B3:V3"/>
    <mergeCell ref="B4:V4"/>
    <mergeCell ref="B7:B9"/>
    <mergeCell ref="C7:C9"/>
    <mergeCell ref="G7:I7"/>
    <mergeCell ref="J7:N7"/>
    <mergeCell ref="D7:F7"/>
    <mergeCell ref="T7:T9"/>
  </mergeCells>
  <pageMargins left="0.38" right="0.55000000000000004" top="0.66" bottom="0.66" header="0.5" footer="0.5"/>
  <pageSetup paperSize="9" scale="3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31"/>
  <sheetViews>
    <sheetView showGridLines="0" view="pageBreakPreview" zoomScale="70" zoomScaleNormal="75" zoomScaleSheetLayoutView="70" workbookViewId="0">
      <selection activeCell="O14" sqref="O14"/>
    </sheetView>
  </sheetViews>
  <sheetFormatPr defaultColWidth="8.6328125" defaultRowHeight="14" x14ac:dyDescent="0.25"/>
  <cols>
    <col min="1" max="1" width="6.90625" style="13" customWidth="1"/>
    <col min="2" max="2" width="6.54296875" style="100" customWidth="1"/>
    <col min="3" max="3" width="49" style="13" customWidth="1"/>
    <col min="4" max="5" width="14.08984375" style="13" customWidth="1"/>
    <col min="6" max="7" width="12.90625" style="13" customWidth="1"/>
    <col min="8" max="20" width="13.90625" style="13" customWidth="1"/>
    <col min="21" max="16384" width="8.6328125" style="13"/>
  </cols>
  <sheetData>
    <row r="1" spans="2:11" x14ac:dyDescent="0.25">
      <c r="C1" s="1098"/>
      <c r="D1" s="1098"/>
      <c r="E1" s="1098"/>
    </row>
    <row r="2" spans="2:11" x14ac:dyDescent="0.25">
      <c r="C2" s="1098"/>
      <c r="D2" s="1098"/>
      <c r="E2" s="1098"/>
      <c r="F2" s="1094" t="s">
        <v>1639</v>
      </c>
      <c r="G2" s="1094"/>
    </row>
    <row r="3" spans="2:11" x14ac:dyDescent="0.25">
      <c r="C3" s="1098"/>
      <c r="D3" s="1098"/>
      <c r="E3" s="1098"/>
      <c r="F3" s="1097" t="s">
        <v>1001</v>
      </c>
      <c r="G3" s="1097"/>
    </row>
    <row r="4" spans="2:11" x14ac:dyDescent="0.3">
      <c r="C4" s="1098"/>
      <c r="D4" s="1098"/>
      <c r="E4" s="1098"/>
      <c r="F4" s="133" t="s">
        <v>1640</v>
      </c>
      <c r="G4" s="133"/>
    </row>
    <row r="6" spans="2:11" ht="28" x14ac:dyDescent="0.25">
      <c r="B6" s="1095" t="s">
        <v>343</v>
      </c>
      <c r="C6" s="1095" t="s">
        <v>37</v>
      </c>
      <c r="D6" s="1096" t="s">
        <v>621</v>
      </c>
      <c r="E6" s="1096" t="s">
        <v>519</v>
      </c>
      <c r="F6" s="1096" t="s">
        <v>520</v>
      </c>
      <c r="G6" s="1095" t="s">
        <v>1641</v>
      </c>
    </row>
    <row r="7" spans="2:11" x14ac:dyDescent="0.25">
      <c r="B7" s="101">
        <v>1</v>
      </c>
      <c r="C7" s="1099" t="s">
        <v>622</v>
      </c>
      <c r="D7" s="1100" t="s">
        <v>81</v>
      </c>
      <c r="E7" s="23"/>
      <c r="F7" s="23"/>
      <c r="G7" s="23"/>
    </row>
    <row r="8" spans="2:11" x14ac:dyDescent="0.25">
      <c r="B8" s="101">
        <f>B7+1</f>
        <v>2</v>
      </c>
      <c r="C8" s="1099" t="s">
        <v>566</v>
      </c>
      <c r="D8" s="1100" t="s">
        <v>82</v>
      </c>
      <c r="E8" s="23"/>
      <c r="F8" s="23"/>
      <c r="G8" s="23"/>
    </row>
    <row r="9" spans="2:11" x14ac:dyDescent="0.25">
      <c r="B9" s="101">
        <f>B8+1</f>
        <v>3</v>
      </c>
      <c r="C9" s="1099" t="s">
        <v>1642</v>
      </c>
      <c r="D9" s="1100" t="s">
        <v>568</v>
      </c>
      <c r="E9" s="23"/>
      <c r="F9" s="23"/>
      <c r="G9" s="23"/>
    </row>
    <row r="10" spans="2:11" x14ac:dyDescent="0.25">
      <c r="B10" s="101"/>
      <c r="C10" s="1101"/>
      <c r="D10" s="1101"/>
      <c r="E10" s="23"/>
      <c r="F10" s="23"/>
      <c r="G10" s="23"/>
    </row>
    <row r="11" spans="2:11" x14ac:dyDescent="0.25">
      <c r="B11" s="101">
        <v>4</v>
      </c>
      <c r="C11" s="1099" t="s">
        <v>623</v>
      </c>
      <c r="D11" s="1100" t="s">
        <v>397</v>
      </c>
      <c r="E11" s="23"/>
      <c r="F11" s="23"/>
      <c r="G11" s="23"/>
    </row>
    <row r="12" spans="2:11" x14ac:dyDescent="0.25">
      <c r="B12" s="101">
        <v>5</v>
      </c>
      <c r="C12" s="1099" t="s">
        <v>753</v>
      </c>
      <c r="D12" s="1100" t="s">
        <v>398</v>
      </c>
      <c r="E12" s="23"/>
      <c r="F12" s="23"/>
      <c r="G12" s="23"/>
    </row>
    <row r="13" spans="2:11" x14ac:dyDescent="0.25">
      <c r="B13" s="101">
        <v>6</v>
      </c>
      <c r="C13" s="1099" t="s">
        <v>754</v>
      </c>
      <c r="D13" s="1100" t="s">
        <v>755</v>
      </c>
      <c r="E13" s="23"/>
      <c r="F13" s="23"/>
      <c r="G13" s="23"/>
    </row>
    <row r="14" spans="2:11" x14ac:dyDescent="0.25">
      <c r="B14" s="101">
        <v>7</v>
      </c>
      <c r="C14" s="1101" t="s">
        <v>567</v>
      </c>
      <c r="D14" s="1102" t="s">
        <v>756</v>
      </c>
      <c r="E14" s="23"/>
      <c r="F14" s="23"/>
      <c r="G14" s="23"/>
    </row>
    <row r="15" spans="2:11" x14ac:dyDescent="0.25">
      <c r="C15" s="1103"/>
      <c r="D15" s="1104"/>
    </row>
    <row r="16" spans="2:11" ht="49.65" customHeight="1" x14ac:dyDescent="0.25">
      <c r="C16" s="1676" t="s">
        <v>1643</v>
      </c>
      <c r="D16" s="1676"/>
      <c r="E16" s="1676"/>
      <c r="F16" s="1676"/>
      <c r="G16" s="1676"/>
      <c r="H16" s="1676"/>
      <c r="I16" s="1676"/>
      <c r="J16" s="1676"/>
      <c r="K16" s="1676"/>
    </row>
    <row r="17" spans="2:12" x14ac:dyDescent="0.25">
      <c r="C17" s="13" t="s">
        <v>1644</v>
      </c>
    </row>
    <row r="18" spans="2:12" x14ac:dyDescent="0.25">
      <c r="C18" s="13" t="s">
        <v>1645</v>
      </c>
    </row>
    <row r="20" spans="2:12" x14ac:dyDescent="0.25">
      <c r="C20" s="1105"/>
      <c r="D20" s="1105"/>
      <c r="E20" s="1105"/>
      <c r="F20" s="83"/>
      <c r="G20" s="83"/>
      <c r="H20" s="83"/>
      <c r="I20" s="83"/>
      <c r="J20" s="83"/>
      <c r="K20" s="83"/>
      <c r="L20" s="83"/>
    </row>
    <row r="22" spans="2:12" x14ac:dyDescent="0.25">
      <c r="B22" s="1691" t="s">
        <v>1646</v>
      </c>
      <c r="C22" s="1691"/>
      <c r="D22" s="1691"/>
      <c r="E22" s="1691"/>
      <c r="F22" s="1691"/>
      <c r="G22" s="1691"/>
      <c r="H22" s="1691"/>
      <c r="I22" s="1691"/>
      <c r="J22" s="258"/>
      <c r="K22" s="258"/>
    </row>
    <row r="23" spans="2:12" x14ac:dyDescent="0.25">
      <c r="B23" s="13"/>
    </row>
    <row r="24" spans="2:12" ht="28" x14ac:dyDescent="0.25">
      <c r="B24" s="1095" t="s">
        <v>343</v>
      </c>
      <c r="C24" s="1095" t="s">
        <v>37</v>
      </c>
      <c r="D24" s="1096" t="s">
        <v>621</v>
      </c>
      <c r="E24" s="1096" t="s">
        <v>940</v>
      </c>
      <c r="F24" s="1096" t="s">
        <v>941</v>
      </c>
      <c r="G24" s="1095" t="s">
        <v>945</v>
      </c>
      <c r="H24" s="1095" t="s">
        <v>942</v>
      </c>
      <c r="I24" s="1095" t="s">
        <v>944</v>
      </c>
    </row>
    <row r="25" spans="2:12" x14ac:dyDescent="0.25">
      <c r="B25" s="101">
        <v>1</v>
      </c>
      <c r="C25" s="1099" t="s">
        <v>1647</v>
      </c>
      <c r="D25" s="1100" t="s">
        <v>81</v>
      </c>
      <c r="E25" s="1099"/>
      <c r="F25" s="1106"/>
      <c r="G25" s="1106"/>
      <c r="H25" s="1099"/>
      <c r="I25" s="1106"/>
    </row>
    <row r="26" spans="2:12" x14ac:dyDescent="0.25">
      <c r="B26" s="101"/>
      <c r="C26" s="1101"/>
      <c r="D26" s="1101"/>
      <c r="E26" s="1099"/>
      <c r="F26" s="1106"/>
      <c r="G26" s="1106"/>
      <c r="H26" s="1099"/>
      <c r="I26" s="1106"/>
    </row>
    <row r="27" spans="2:12" x14ac:dyDescent="0.25">
      <c r="B27" s="101">
        <v>2</v>
      </c>
      <c r="C27" s="1099" t="s">
        <v>1648</v>
      </c>
      <c r="D27" s="1100" t="s">
        <v>82</v>
      </c>
      <c r="E27" s="1099"/>
      <c r="F27" s="1106"/>
      <c r="G27" s="1106"/>
      <c r="H27" s="1099"/>
      <c r="I27" s="1106"/>
    </row>
    <row r="28" spans="2:12" x14ac:dyDescent="0.25">
      <c r="B28" s="101">
        <v>3</v>
      </c>
      <c r="C28" s="1101" t="s">
        <v>567</v>
      </c>
      <c r="D28" s="1102" t="s">
        <v>1649</v>
      </c>
      <c r="E28" s="1101"/>
      <c r="F28" s="1107"/>
      <c r="G28" s="1107"/>
      <c r="H28" s="1101"/>
      <c r="I28" s="1107"/>
    </row>
    <row r="29" spans="2:12" ht="29.4" customHeight="1" x14ac:dyDescent="0.25">
      <c r="B29" s="13"/>
      <c r="C29" s="83"/>
    </row>
    <row r="30" spans="2:12" ht="43.65" customHeight="1" x14ac:dyDescent="0.25">
      <c r="B30" s="13"/>
      <c r="C30" s="1692" t="s">
        <v>1650</v>
      </c>
      <c r="D30" s="1676"/>
      <c r="E30" s="1676"/>
      <c r="F30" s="1676"/>
      <c r="G30" s="1676"/>
      <c r="H30" s="1676"/>
      <c r="I30" s="1676"/>
      <c r="J30" s="1676"/>
      <c r="K30" s="1676"/>
    </row>
    <row r="31" spans="2:12" x14ac:dyDescent="0.25">
      <c r="B31" s="13"/>
      <c r="C31" s="13" t="s">
        <v>1651</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rowBreaks count="1" manualBreakCount="1">
    <brk id="26" min="1"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84"/>
  <sheetViews>
    <sheetView showGridLines="0" view="pageBreakPreview" zoomScale="75" zoomScaleNormal="75" zoomScaleSheetLayoutView="75" workbookViewId="0"/>
  </sheetViews>
  <sheetFormatPr defaultColWidth="9.36328125" defaultRowHeight="14" x14ac:dyDescent="0.25"/>
  <cols>
    <col min="1" max="1" width="6.6328125" style="13" customWidth="1"/>
    <col min="2" max="2" width="7.36328125" style="13" customWidth="1"/>
    <col min="3" max="3" width="49" style="13" customWidth="1"/>
    <col min="4" max="4" width="10.36328125" style="13" bestFit="1" customWidth="1"/>
    <col min="5" max="5" width="11.6328125" style="13" customWidth="1"/>
    <col min="6" max="8" width="11" style="13" customWidth="1"/>
    <col min="9" max="9" width="14.453125" style="13" customWidth="1"/>
    <col min="10" max="10" width="13.6328125" style="13" customWidth="1"/>
    <col min="11" max="11" width="16" style="13" customWidth="1"/>
    <col min="12" max="12" width="21" style="13" customWidth="1"/>
    <col min="13" max="13" width="11.6328125" style="372" customWidth="1"/>
    <col min="14" max="14" width="11" style="13" customWidth="1"/>
    <col min="15" max="15" width="46.453125" style="13" customWidth="1"/>
    <col min="16" max="16" width="16" style="13" customWidth="1"/>
    <col min="17" max="16384" width="9.36328125" style="13"/>
  </cols>
  <sheetData>
    <row r="1" spans="2:17" x14ac:dyDescent="0.25">
      <c r="C1" s="80"/>
    </row>
    <row r="2" spans="2:17" ht="15.65" customHeight="1" x14ac:dyDescent="0.25">
      <c r="B2" s="1468" t="str">
        <f>Index!B2</f>
        <v xml:space="preserve">      Maharashtra State Power Generation Company Ltd.</v>
      </c>
      <c r="C2" s="1468"/>
      <c r="D2" s="1468"/>
      <c r="E2" s="1468"/>
      <c r="F2" s="1468"/>
      <c r="G2" s="1468"/>
      <c r="H2" s="1468"/>
      <c r="I2" s="1468"/>
      <c r="J2" s="1468"/>
      <c r="K2" s="1468"/>
      <c r="L2" s="1468"/>
      <c r="N2" s="32"/>
      <c r="O2" s="32"/>
      <c r="P2" s="32"/>
    </row>
    <row r="3" spans="2:17" s="5" customFormat="1" ht="15.65" customHeight="1" x14ac:dyDescent="0.3">
      <c r="B3" s="1468" t="str">
        <f>Index!B3</f>
        <v>MYT Petition Formats for SHP Hydro</v>
      </c>
      <c r="C3" s="1468"/>
      <c r="D3" s="1468"/>
      <c r="E3" s="1468"/>
      <c r="F3" s="1468"/>
      <c r="G3" s="1468"/>
      <c r="H3" s="1468"/>
      <c r="I3" s="1468"/>
      <c r="J3" s="1468"/>
      <c r="K3" s="1468"/>
      <c r="L3" s="1468"/>
      <c r="M3" s="1117"/>
      <c r="N3" s="35"/>
      <c r="O3" s="35"/>
      <c r="P3" s="34"/>
    </row>
    <row r="4" spans="2:17" s="5" customFormat="1" ht="15.65" customHeight="1" x14ac:dyDescent="0.3">
      <c r="B4" s="1693" t="s">
        <v>353</v>
      </c>
      <c r="C4" s="1693"/>
      <c r="D4" s="1693"/>
      <c r="E4" s="1693"/>
      <c r="F4" s="1693"/>
      <c r="G4" s="1693"/>
      <c r="H4" s="1693"/>
      <c r="I4" s="1693"/>
      <c r="J4" s="1693"/>
      <c r="K4" s="1693"/>
      <c r="L4" s="1693"/>
      <c r="M4" s="1118"/>
      <c r="N4" s="81"/>
      <c r="O4" s="81"/>
      <c r="P4" s="81"/>
    </row>
    <row r="5" spans="2:17" x14ac:dyDescent="0.25">
      <c r="B5" s="32"/>
      <c r="C5" s="32"/>
      <c r="D5" s="32"/>
      <c r="E5" s="32"/>
      <c r="F5" s="32"/>
      <c r="G5" s="32"/>
      <c r="H5" s="32"/>
      <c r="I5" s="32"/>
      <c r="J5" s="32"/>
      <c r="K5" s="32"/>
      <c r="L5" s="32"/>
      <c r="N5" s="32"/>
      <c r="O5" s="32"/>
      <c r="P5" s="32"/>
    </row>
    <row r="6" spans="2:17" x14ac:dyDescent="0.25">
      <c r="B6" s="82" t="s">
        <v>519</v>
      </c>
      <c r="N6" s="32"/>
      <c r="O6" s="32"/>
      <c r="P6" s="32"/>
    </row>
    <row r="7" spans="2:17" x14ac:dyDescent="0.25">
      <c r="K7" s="21"/>
      <c r="L7" s="21" t="s">
        <v>10</v>
      </c>
      <c r="N7" s="32"/>
      <c r="O7" s="219"/>
      <c r="P7" s="32"/>
    </row>
    <row r="8" spans="2:17" ht="42" x14ac:dyDescent="0.25">
      <c r="B8" s="217" t="s">
        <v>343</v>
      </c>
      <c r="C8" s="218" t="s">
        <v>37</v>
      </c>
      <c r="D8" s="643" t="s">
        <v>25</v>
      </c>
      <c r="E8" s="88" t="s">
        <v>7</v>
      </c>
      <c r="F8" s="88" t="s">
        <v>304</v>
      </c>
      <c r="G8" s="431" t="s">
        <v>840</v>
      </c>
      <c r="H8" s="431" t="s">
        <v>841</v>
      </c>
      <c r="I8" s="140" t="s">
        <v>413</v>
      </c>
      <c r="J8" s="88" t="s">
        <v>305</v>
      </c>
      <c r="K8" s="88" t="s">
        <v>306</v>
      </c>
      <c r="L8" s="264" t="s">
        <v>500</v>
      </c>
      <c r="N8" s="32"/>
      <c r="O8" s="1090"/>
      <c r="P8" s="1090"/>
      <c r="Q8" s="1090"/>
    </row>
    <row r="9" spans="2:17" ht="15.5" x14ac:dyDescent="0.25">
      <c r="B9" s="23"/>
      <c r="C9" s="23"/>
      <c r="D9" s="23" t="s">
        <v>355</v>
      </c>
      <c r="E9" s="23" t="s">
        <v>356</v>
      </c>
      <c r="F9" s="23" t="s">
        <v>806</v>
      </c>
      <c r="G9" s="23" t="s">
        <v>807</v>
      </c>
      <c r="H9" s="23"/>
      <c r="I9" s="23"/>
      <c r="J9" s="23"/>
      <c r="K9" s="23"/>
      <c r="L9" s="23"/>
      <c r="N9" s="32"/>
      <c r="O9" s="1091"/>
      <c r="P9" s="1092"/>
      <c r="Q9" s="1093"/>
    </row>
    <row r="10" spans="2:17" ht="15.5" x14ac:dyDescent="0.25">
      <c r="B10" s="101">
        <v>1</v>
      </c>
      <c r="C10" s="121" t="s">
        <v>83</v>
      </c>
      <c r="D10" s="503">
        <f>'F1'!F11</f>
        <v>0</v>
      </c>
      <c r="E10" s="503">
        <f>'F1'!G11</f>
        <v>0</v>
      </c>
      <c r="F10" s="503">
        <f>E10-D10</f>
        <v>0</v>
      </c>
      <c r="G10" s="503">
        <f>E10-D10</f>
        <v>0</v>
      </c>
      <c r="H10" s="504">
        <f>IF(G10&lt;0,2/3,1/3)*G10</f>
        <v>0</v>
      </c>
      <c r="I10" s="280"/>
      <c r="J10" s="280"/>
      <c r="K10" s="280"/>
      <c r="L10" s="365">
        <f>D10+H10</f>
        <v>0</v>
      </c>
      <c r="M10" s="1119"/>
      <c r="N10" s="32"/>
      <c r="O10" s="1091"/>
      <c r="P10" s="1092"/>
      <c r="Q10" s="1093"/>
    </row>
    <row r="11" spans="2:17" ht="15.5" x14ac:dyDescent="0.25">
      <c r="B11" s="101">
        <v>2</v>
      </c>
      <c r="C11" s="121" t="s">
        <v>881</v>
      </c>
      <c r="D11" s="505">
        <f>'F3'!F17-D12</f>
        <v>131.39565737090265</v>
      </c>
      <c r="E11" s="480">
        <f>'F3'!G17-E12</f>
        <v>124.35560354858053</v>
      </c>
      <c r="F11" s="417">
        <f>E11-D11</f>
        <v>-7.0400538223221218</v>
      </c>
      <c r="G11" s="503">
        <f>E11-D11</f>
        <v>-7.0400538223221218</v>
      </c>
      <c r="H11" s="504">
        <f>IF(G11&lt;0,2/3,1/3)*G11</f>
        <v>-4.6933692148814146</v>
      </c>
      <c r="I11" s="121"/>
      <c r="J11" s="121"/>
      <c r="K11" s="121"/>
      <c r="L11" s="480">
        <f>D11+H11</f>
        <v>126.70228815602124</v>
      </c>
      <c r="M11" s="1120"/>
      <c r="N11" s="32"/>
      <c r="O11" s="1091"/>
      <c r="P11" s="1092"/>
      <c r="Q11" s="1093"/>
    </row>
    <row r="12" spans="2:17" x14ac:dyDescent="0.25">
      <c r="B12" s="101"/>
      <c r="C12" s="121" t="s">
        <v>882</v>
      </c>
      <c r="D12" s="480">
        <f>'F3'!F14</f>
        <v>0</v>
      </c>
      <c r="E12" s="480">
        <f>'F3'!G14</f>
        <v>0</v>
      </c>
      <c r="F12" s="417"/>
      <c r="G12" s="503"/>
      <c r="H12" s="480"/>
      <c r="I12" s="121"/>
      <c r="J12" s="121"/>
      <c r="K12" s="121"/>
      <c r="L12" s="480">
        <f>D12+H12</f>
        <v>0</v>
      </c>
      <c r="M12" s="1120"/>
      <c r="N12" s="32"/>
      <c r="O12" s="257"/>
      <c r="P12" s="257"/>
      <c r="Q12" s="257"/>
    </row>
    <row r="13" spans="2:17" x14ac:dyDescent="0.25">
      <c r="B13" s="101"/>
      <c r="C13" s="121" t="s">
        <v>883</v>
      </c>
      <c r="D13" s="505">
        <f>E13</f>
        <v>0</v>
      </c>
      <c r="E13" s="480">
        <f>'F3.1'!E27</f>
        <v>0</v>
      </c>
      <c r="F13" s="417"/>
      <c r="G13" s="503"/>
      <c r="H13" s="480"/>
      <c r="I13" s="121"/>
      <c r="J13" s="121"/>
      <c r="K13" s="121"/>
      <c r="L13" s="365">
        <f>E13</f>
        <v>0</v>
      </c>
      <c r="M13" s="1120"/>
      <c r="N13" s="32"/>
    </row>
    <row r="14" spans="2:17" x14ac:dyDescent="0.25">
      <c r="B14" s="101">
        <v>3</v>
      </c>
      <c r="C14" s="122" t="s">
        <v>887</v>
      </c>
      <c r="D14" s="480">
        <f>'F1'!F17</f>
        <v>1.8096577103726583</v>
      </c>
      <c r="E14" s="480">
        <f>'F1'!G17+'F1'!G18</f>
        <v>1.8151565581996394</v>
      </c>
      <c r="F14" s="417">
        <f t="shared" ref="F14:F18" si="0">E14-D14</f>
        <v>5.4988478269810681E-3</v>
      </c>
      <c r="G14" s="503">
        <f t="shared" ref="G14:G18" si="1">E14-D14</f>
        <v>5.4988478269810681E-3</v>
      </c>
      <c r="H14" s="480"/>
      <c r="I14" s="121"/>
      <c r="J14" s="121"/>
      <c r="K14" s="121"/>
      <c r="L14" s="365">
        <f>E14</f>
        <v>1.8151565581996394</v>
      </c>
      <c r="M14" s="1120"/>
      <c r="N14" s="32"/>
    </row>
    <row r="15" spans="2:17" x14ac:dyDescent="0.25">
      <c r="B15" s="101">
        <v>4</v>
      </c>
      <c r="C15" s="121" t="s">
        <v>85</v>
      </c>
      <c r="D15" s="480">
        <f>'F1'!F19+'F1'!F20</f>
        <v>0.59892711669070897</v>
      </c>
      <c r="E15" s="480">
        <f>'F1'!G19+'F1'!G20</f>
        <v>0.59892711669070897</v>
      </c>
      <c r="F15" s="417">
        <f>E15-D15</f>
        <v>0</v>
      </c>
      <c r="G15" s="503">
        <f t="shared" si="1"/>
        <v>0</v>
      </c>
      <c r="H15" s="480"/>
      <c r="I15" s="23"/>
      <c r="J15" s="23"/>
      <c r="K15" s="23"/>
      <c r="L15" s="365">
        <f>E15</f>
        <v>0.59892711669070897</v>
      </c>
      <c r="N15" s="32"/>
    </row>
    <row r="16" spans="2:17" x14ac:dyDescent="0.25">
      <c r="B16" s="101">
        <v>5</v>
      </c>
      <c r="C16" s="122" t="s">
        <v>86</v>
      </c>
      <c r="D16" s="480">
        <f>'F1'!F21</f>
        <v>7.3423532506193618</v>
      </c>
      <c r="E16" s="480">
        <f>'F1'!G21</f>
        <v>19.024224697601021</v>
      </c>
      <c r="F16" s="417">
        <f t="shared" si="0"/>
        <v>11.68187144698166</v>
      </c>
      <c r="G16" s="503">
        <f t="shared" si="1"/>
        <v>11.68187144698166</v>
      </c>
      <c r="H16" s="504">
        <f>IF(G16&lt;0,2/3,1/3)*G16</f>
        <v>3.8939571489938865</v>
      </c>
      <c r="I16" s="23"/>
      <c r="J16" s="23"/>
      <c r="K16" s="23"/>
      <c r="L16" s="365">
        <f>D16+H16</f>
        <v>11.236310399613249</v>
      </c>
      <c r="N16" s="32"/>
    </row>
    <row r="17" spans="1:14" x14ac:dyDescent="0.25">
      <c r="B17" s="101">
        <v>6</v>
      </c>
      <c r="C17" s="104" t="s">
        <v>87</v>
      </c>
      <c r="D17" s="480">
        <f>'F1'!F23</f>
        <v>234.29108835299999</v>
      </c>
      <c r="E17" s="480">
        <f>'F1'!G23</f>
        <v>234.29108835299999</v>
      </c>
      <c r="F17" s="417">
        <f t="shared" si="0"/>
        <v>0</v>
      </c>
      <c r="G17" s="503">
        <f t="shared" si="1"/>
        <v>0</v>
      </c>
      <c r="H17" s="480"/>
      <c r="I17" s="23"/>
      <c r="J17" s="23"/>
      <c r="K17" s="23"/>
      <c r="L17" s="365">
        <f>E17</f>
        <v>234.29108835299999</v>
      </c>
      <c r="N17" s="32"/>
    </row>
    <row r="18" spans="1:14" x14ac:dyDescent="0.25">
      <c r="B18" s="101">
        <v>7</v>
      </c>
      <c r="C18" s="23" t="s">
        <v>88</v>
      </c>
      <c r="D18" s="480">
        <f>'F1'!F24</f>
        <v>0</v>
      </c>
      <c r="E18" s="480">
        <f>'F1'!G24</f>
        <v>0</v>
      </c>
      <c r="F18" s="417">
        <f t="shared" si="0"/>
        <v>0</v>
      </c>
      <c r="G18" s="503">
        <f t="shared" si="1"/>
        <v>0</v>
      </c>
      <c r="H18" s="480"/>
      <c r="I18" s="23"/>
      <c r="J18" s="23"/>
      <c r="K18" s="23"/>
      <c r="L18" s="365">
        <f>E18</f>
        <v>0</v>
      </c>
      <c r="N18" s="32"/>
    </row>
    <row r="19" spans="1:14" x14ac:dyDescent="0.25">
      <c r="B19" s="101">
        <v>8</v>
      </c>
      <c r="C19" s="121" t="s">
        <v>994</v>
      </c>
      <c r="D19" s="480"/>
      <c r="E19" s="480">
        <f>'F1'!$G$14</f>
        <v>1.215902131</v>
      </c>
      <c r="F19" s="365"/>
      <c r="G19" s="480"/>
      <c r="H19" s="480"/>
      <c r="I19" s="23"/>
      <c r="J19" s="23"/>
      <c r="K19" s="23"/>
      <c r="L19" s="365">
        <f>E19</f>
        <v>1.215902131</v>
      </c>
      <c r="N19" s="32"/>
    </row>
    <row r="20" spans="1:14" x14ac:dyDescent="0.25">
      <c r="B20" s="101">
        <f>B19+1</f>
        <v>9</v>
      </c>
      <c r="C20" s="23" t="s">
        <v>1413</v>
      </c>
      <c r="D20" s="23"/>
      <c r="E20" s="354">
        <f>'F1'!G25</f>
        <v>0</v>
      </c>
      <c r="F20" s="23"/>
      <c r="G20" s="23"/>
      <c r="H20" s="23"/>
      <c r="I20" s="23"/>
      <c r="J20" s="23"/>
      <c r="K20" s="23"/>
      <c r="L20" s="365">
        <f>E20</f>
        <v>0</v>
      </c>
    </row>
    <row r="21" spans="1:14" x14ac:dyDescent="0.25">
      <c r="B21" s="101">
        <f>B20+1</f>
        <v>10</v>
      </c>
      <c r="C21" s="26" t="s">
        <v>89</v>
      </c>
      <c r="D21" s="480">
        <f>SUM(D10:D18)</f>
        <v>375.43768380158537</v>
      </c>
      <c r="E21" s="480">
        <f>SUM(E10:E18)</f>
        <v>380.08500027407189</v>
      </c>
      <c r="F21" s="365">
        <f>SUM(F10:F18)</f>
        <v>4.6473164724865192</v>
      </c>
      <c r="G21" s="503">
        <f>E21-D21</f>
        <v>4.6473164724865228</v>
      </c>
      <c r="H21" s="480"/>
      <c r="I21" s="23"/>
      <c r="J21" s="23"/>
      <c r="K21" s="23"/>
      <c r="L21" s="417">
        <f>SUM(L10:L19)</f>
        <v>375.85967271452483</v>
      </c>
      <c r="N21" s="32"/>
    </row>
    <row r="22" spans="1:14" x14ac:dyDescent="0.25">
      <c r="B22" s="101">
        <f t="shared" ref="B22:B23" si="2">B21+1</f>
        <v>11</v>
      </c>
      <c r="C22" s="23" t="s">
        <v>90</v>
      </c>
      <c r="D22" s="503">
        <f>'F1'!F27+'F1'!F28</f>
        <v>1.2275120944301001</v>
      </c>
      <c r="E22" s="503">
        <f>'F1'!G27+'F1'!G28</f>
        <v>1.2275120944301001</v>
      </c>
      <c r="F22" s="417">
        <f>E22-D22</f>
        <v>0</v>
      </c>
      <c r="G22" s="503">
        <f>E22-D22</f>
        <v>0</v>
      </c>
      <c r="H22" s="503"/>
      <c r="I22" s="26"/>
      <c r="J22" s="26"/>
      <c r="K22" s="26"/>
      <c r="L22" s="365">
        <f>E22</f>
        <v>1.2275120944301001</v>
      </c>
      <c r="M22" s="1121"/>
      <c r="N22" s="32"/>
    </row>
    <row r="23" spans="1:14" x14ac:dyDescent="0.25">
      <c r="B23" s="101">
        <f t="shared" si="2"/>
        <v>12</v>
      </c>
      <c r="C23" s="23" t="s">
        <v>91</v>
      </c>
      <c r="D23" s="503">
        <f>'F1'!F29</f>
        <v>0.32893613300000002</v>
      </c>
      <c r="E23" s="503">
        <f>'F1'!G29</f>
        <v>0.32893613300000002</v>
      </c>
      <c r="F23" s="417">
        <f>E23-D23</f>
        <v>0</v>
      </c>
      <c r="G23" s="503">
        <f>E23-D23</f>
        <v>0</v>
      </c>
      <c r="H23" s="480"/>
      <c r="I23" s="23"/>
      <c r="J23" s="23"/>
      <c r="K23" s="23"/>
      <c r="L23" s="365">
        <f>E23</f>
        <v>0.32893613300000002</v>
      </c>
      <c r="N23" s="32"/>
    </row>
    <row r="24" spans="1:14" x14ac:dyDescent="0.25">
      <c r="B24" s="102" t="s">
        <v>170</v>
      </c>
      <c r="C24" s="26" t="s">
        <v>92</v>
      </c>
      <c r="D24" s="503">
        <f>D21+D22-D23</f>
        <v>376.33625976301545</v>
      </c>
      <c r="E24" s="503">
        <f>E21+E22-E23</f>
        <v>380.98357623550197</v>
      </c>
      <c r="F24" s="417">
        <f>F21+F22-F23</f>
        <v>4.6473164724865192</v>
      </c>
      <c r="G24" s="503">
        <f>E24-D24</f>
        <v>4.6473164724865228</v>
      </c>
      <c r="H24" s="503"/>
      <c r="I24" s="26"/>
      <c r="J24" s="26"/>
      <c r="K24" s="26"/>
      <c r="L24" s="417">
        <f>L21+L22-L23</f>
        <v>376.75824867595492</v>
      </c>
      <c r="M24" s="1122">
        <v>0</v>
      </c>
      <c r="N24" s="32"/>
    </row>
    <row r="25" spans="1:14" x14ac:dyDescent="0.25">
      <c r="B25" s="120"/>
      <c r="C25" s="106"/>
      <c r="D25" s="503"/>
      <c r="E25" s="503"/>
      <c r="F25" s="417"/>
      <c r="G25" s="503"/>
      <c r="H25" s="503"/>
      <c r="I25" s="26"/>
      <c r="J25" s="26"/>
      <c r="K25" s="26"/>
      <c r="L25" s="365"/>
      <c r="M25" s="1121"/>
      <c r="N25" s="32"/>
    </row>
    <row r="26" spans="1:14" x14ac:dyDescent="0.25">
      <c r="B26" s="120" t="s">
        <v>183</v>
      </c>
      <c r="C26" s="106" t="s">
        <v>307</v>
      </c>
      <c r="D26" s="503"/>
      <c r="E26" s="503"/>
      <c r="F26" s="417"/>
      <c r="G26" s="503"/>
      <c r="H26" s="503"/>
      <c r="I26" s="26"/>
      <c r="J26" s="26"/>
      <c r="K26" s="26"/>
      <c r="L26" s="365"/>
      <c r="M26" s="1121"/>
      <c r="N26" s="32"/>
    </row>
    <row r="27" spans="1:14" x14ac:dyDescent="0.25">
      <c r="B27" s="105">
        <f>B23+1</f>
        <v>13</v>
      </c>
      <c r="C27" s="104" t="s">
        <v>308</v>
      </c>
      <c r="D27" s="480"/>
      <c r="E27" s="480">
        <f>'F9'!N12</f>
        <v>352.61499999056002</v>
      </c>
      <c r="F27" s="417">
        <f>E27-D27</f>
        <v>352.61499999056002</v>
      </c>
      <c r="G27" s="503"/>
      <c r="H27" s="480"/>
      <c r="I27" s="23"/>
      <c r="J27" s="23"/>
      <c r="K27" s="23"/>
      <c r="L27" s="365">
        <f>E27</f>
        <v>352.61499999056002</v>
      </c>
      <c r="M27" s="1121"/>
      <c r="N27" s="32"/>
    </row>
    <row r="28" spans="1:14" x14ac:dyDescent="0.25">
      <c r="B28" s="500">
        <f>B27+1</f>
        <v>14</v>
      </c>
      <c r="C28" s="122" t="s">
        <v>884</v>
      </c>
      <c r="D28" s="480"/>
      <c r="E28" s="480"/>
      <c r="F28" s="365"/>
      <c r="G28" s="505">
        <f>$P$10</f>
        <v>0</v>
      </c>
      <c r="H28" s="504">
        <f>IF(G28&lt;0,2/3,1/3)*G28</f>
        <v>0</v>
      </c>
      <c r="I28" s="23"/>
      <c r="J28" s="23"/>
      <c r="K28" s="23"/>
      <c r="L28" s="365">
        <f>H28</f>
        <v>0</v>
      </c>
      <c r="M28" s="1121"/>
      <c r="N28" s="32"/>
    </row>
    <row r="29" spans="1:14" x14ac:dyDescent="0.25">
      <c r="B29" s="500">
        <f>B28+1</f>
        <v>15</v>
      </c>
      <c r="C29" s="501" t="s">
        <v>885</v>
      </c>
      <c r="D29" s="121"/>
      <c r="E29" s="121"/>
      <c r="F29" s="121"/>
      <c r="G29" s="121"/>
      <c r="H29" s="121"/>
      <c r="I29" s="23"/>
      <c r="J29" s="23"/>
      <c r="K29" s="23"/>
      <c r="L29" s="417">
        <f>SUM(L27:L28)</f>
        <v>352.61499999056002</v>
      </c>
      <c r="M29" s="1122">
        <v>0</v>
      </c>
      <c r="N29" s="32"/>
    </row>
    <row r="30" spans="1:14" x14ac:dyDescent="0.25">
      <c r="A30" s="121"/>
      <c r="B30" s="120" t="s">
        <v>184</v>
      </c>
      <c r="C30" s="106" t="s">
        <v>316</v>
      </c>
      <c r="D30" s="506"/>
      <c r="E30" s="506"/>
      <c r="F30" s="506"/>
      <c r="G30" s="26"/>
      <c r="H30" s="506"/>
      <c r="I30" s="26"/>
      <c r="J30" s="26"/>
      <c r="K30" s="26"/>
      <c r="L30" s="417">
        <f>L24-L29</f>
        <v>24.143248685394894</v>
      </c>
      <c r="M30" s="1122">
        <v>-5.6843418860808015E-14</v>
      </c>
      <c r="N30" s="32"/>
    </row>
    <row r="31" spans="1:14" x14ac:dyDescent="0.25">
      <c r="B31" s="288" t="s">
        <v>648</v>
      </c>
      <c r="C31" s="282"/>
      <c r="D31" s="262"/>
      <c r="E31" s="262"/>
      <c r="F31" s="262"/>
      <c r="G31" s="262"/>
      <c r="H31" s="262"/>
      <c r="I31" s="262"/>
      <c r="J31" s="262"/>
      <c r="K31" s="262"/>
      <c r="L31" s="257"/>
      <c r="M31" s="1121">
        <f>M30*10^7</f>
        <v>-5.6843418860808015E-7</v>
      </c>
      <c r="N31" s="32"/>
    </row>
    <row r="32" spans="1:14" x14ac:dyDescent="0.25">
      <c r="B32" s="288"/>
      <c r="C32" s="282"/>
      <c r="D32" s="262"/>
      <c r="E32" s="262"/>
      <c r="F32" s="262"/>
      <c r="G32" s="262"/>
      <c r="H32" s="262"/>
      <c r="I32" s="262"/>
      <c r="J32" s="262"/>
      <c r="K32" s="262"/>
      <c r="L32" s="257"/>
      <c r="M32" s="1121"/>
      <c r="N32" s="32"/>
    </row>
    <row r="33" spans="2:14" x14ac:dyDescent="0.25">
      <c r="B33" s="82" t="s">
        <v>520</v>
      </c>
    </row>
    <row r="34" spans="2:14" x14ac:dyDescent="0.25">
      <c r="K34" s="21"/>
      <c r="L34" s="21" t="s">
        <v>10</v>
      </c>
    </row>
    <row r="35" spans="2:14" ht="42" x14ac:dyDescent="0.25">
      <c r="B35" s="217" t="s">
        <v>343</v>
      </c>
      <c r="C35" s="218" t="s">
        <v>37</v>
      </c>
      <c r="D35" s="331" t="s">
        <v>25</v>
      </c>
      <c r="E35" s="331" t="s">
        <v>7</v>
      </c>
      <c r="F35" s="331" t="s">
        <v>304</v>
      </c>
      <c r="G35" s="431" t="s">
        <v>840</v>
      </c>
      <c r="H35" s="431" t="s">
        <v>841</v>
      </c>
      <c r="I35" s="331" t="s">
        <v>413</v>
      </c>
      <c r="J35" s="331" t="s">
        <v>305</v>
      </c>
      <c r="K35" s="331" t="s">
        <v>306</v>
      </c>
      <c r="L35" s="331" t="s">
        <v>500</v>
      </c>
    </row>
    <row r="36" spans="2:14" x14ac:dyDescent="0.25">
      <c r="B36" s="23"/>
      <c r="C36" s="23"/>
      <c r="D36" s="23" t="s">
        <v>355</v>
      </c>
      <c r="E36" s="23" t="s">
        <v>356</v>
      </c>
      <c r="F36" s="23" t="s">
        <v>806</v>
      </c>
      <c r="G36" s="23" t="s">
        <v>807</v>
      </c>
      <c r="H36" s="23"/>
      <c r="I36" s="23"/>
      <c r="J36" s="23"/>
      <c r="K36" s="23"/>
      <c r="L36" s="23"/>
    </row>
    <row r="37" spans="2:14" s="22" customFormat="1" x14ac:dyDescent="0.25">
      <c r="B37" s="101">
        <v>1</v>
      </c>
      <c r="C37" s="121" t="s">
        <v>83</v>
      </c>
      <c r="D37" s="503">
        <f>'F1'!J11</f>
        <v>0</v>
      </c>
      <c r="E37" s="503">
        <f>'F1'!K11</f>
        <v>0</v>
      </c>
      <c r="F37" s="503">
        <f>E37-D37</f>
        <v>0</v>
      </c>
      <c r="G37" s="503">
        <f>E37-D37</f>
        <v>0</v>
      </c>
      <c r="H37" s="480">
        <f>IF(G37&lt;0,2/3,1/3)*G37</f>
        <v>0</v>
      </c>
      <c r="I37" s="280"/>
      <c r="J37" s="280"/>
      <c r="K37" s="280"/>
      <c r="L37" s="480">
        <f>D37+H37</f>
        <v>0</v>
      </c>
      <c r="M37" s="1119"/>
    </row>
    <row r="38" spans="2:14" x14ac:dyDescent="0.25">
      <c r="B38" s="101">
        <v>2</v>
      </c>
      <c r="C38" s="121" t="s">
        <v>881</v>
      </c>
      <c r="D38" s="480">
        <f>'F3'!J17-D39</f>
        <v>137.12007240358145</v>
      </c>
      <c r="E38" s="480">
        <f>'F3'!K17-E39</f>
        <v>168.64521897019165</v>
      </c>
      <c r="F38" s="480">
        <f>E38-D38</f>
        <v>31.525146566610204</v>
      </c>
      <c r="G38" s="480">
        <f t="shared" ref="G38:G45" si="3">E38-D38</f>
        <v>31.525146566610204</v>
      </c>
      <c r="H38" s="480">
        <f>IF(G38&lt;0,2/3,1/3)*G38</f>
        <v>10.508382188870067</v>
      </c>
      <c r="I38" s="121"/>
      <c r="J38" s="121"/>
      <c r="K38" s="121"/>
      <c r="L38" s="480">
        <f>D38+H38</f>
        <v>147.6284545924515</v>
      </c>
      <c r="M38" s="1120"/>
    </row>
    <row r="39" spans="2:14" x14ac:dyDescent="0.25">
      <c r="B39" s="101"/>
      <c r="C39" s="121" t="s">
        <v>882</v>
      </c>
      <c r="D39" s="480">
        <f>'F3'!$J$14</f>
        <v>21.693942429605553</v>
      </c>
      <c r="E39" s="480">
        <f>'F3'!$K$14</f>
        <v>21.693942429605553</v>
      </c>
      <c r="F39" s="480"/>
      <c r="G39" s="480"/>
      <c r="H39" s="480"/>
      <c r="I39" s="121"/>
      <c r="J39" s="121"/>
      <c r="K39" s="121"/>
      <c r="L39" s="480">
        <f>D39+H39</f>
        <v>21.693942429605553</v>
      </c>
      <c r="M39" s="1120"/>
    </row>
    <row r="40" spans="2:14" x14ac:dyDescent="0.25">
      <c r="B40" s="101"/>
      <c r="C40" s="121" t="s">
        <v>883</v>
      </c>
      <c r="D40" s="480">
        <f>E40</f>
        <v>0</v>
      </c>
      <c r="E40" s="480">
        <f>'F3.1'!G25</f>
        <v>0</v>
      </c>
      <c r="F40" s="480"/>
      <c r="G40" s="480"/>
      <c r="H40" s="480"/>
      <c r="I40" s="121"/>
      <c r="J40" s="121"/>
      <c r="K40" s="121"/>
      <c r="L40" s="480">
        <f>E40</f>
        <v>0</v>
      </c>
      <c r="M40" s="1120"/>
    </row>
    <row r="41" spans="2:14" x14ac:dyDescent="0.25">
      <c r="B41" s="101">
        <v>3</v>
      </c>
      <c r="C41" s="122" t="s">
        <v>887</v>
      </c>
      <c r="D41" s="503">
        <f>'F1'!J17</f>
        <v>2.0578432270087061</v>
      </c>
      <c r="E41" s="480">
        <f>'F1'!K17+'F1'!K18</f>
        <v>2.0654121666122656</v>
      </c>
      <c r="F41" s="480">
        <f t="shared" ref="F41:F45" si="4">E41-D41</f>
        <v>7.5689396035594214E-3</v>
      </c>
      <c r="G41" s="480">
        <f t="shared" si="3"/>
        <v>7.5689396035594214E-3</v>
      </c>
      <c r="H41" s="480"/>
      <c r="I41" s="121"/>
      <c r="J41" s="121"/>
      <c r="K41" s="121"/>
      <c r="L41" s="480">
        <f>E41</f>
        <v>2.0654121666122656</v>
      </c>
      <c r="M41" s="1120"/>
    </row>
    <row r="42" spans="2:14" x14ac:dyDescent="0.25">
      <c r="B42" s="101">
        <v>4</v>
      </c>
      <c r="C42" s="121" t="s">
        <v>85</v>
      </c>
      <c r="D42" s="503">
        <f>'F1'!J19+'F1'!J20</f>
        <v>1.1432615075241541</v>
      </c>
      <c r="E42" s="480">
        <f>'F1'!K19+'F1'!K20</f>
        <v>1.1432615075241541</v>
      </c>
      <c r="F42" s="480">
        <f t="shared" si="4"/>
        <v>0</v>
      </c>
      <c r="G42" s="480">
        <f t="shared" si="3"/>
        <v>0</v>
      </c>
      <c r="H42" s="480"/>
      <c r="I42" s="121"/>
      <c r="J42" s="121"/>
      <c r="K42" s="121"/>
      <c r="L42" s="480">
        <f>E42</f>
        <v>1.1432615075241541</v>
      </c>
      <c r="M42" s="1120"/>
    </row>
    <row r="43" spans="2:14" x14ac:dyDescent="0.25">
      <c r="B43" s="101">
        <v>5</v>
      </c>
      <c r="C43" s="122" t="s">
        <v>86</v>
      </c>
      <c r="D43" s="503">
        <f>'F1'!J21</f>
        <v>11.315747152428342</v>
      </c>
      <c r="E43" s="480">
        <f>'F1'!K21</f>
        <v>25.539280766884744</v>
      </c>
      <c r="F43" s="480">
        <f t="shared" si="4"/>
        <v>14.223533614456402</v>
      </c>
      <c r="G43" s="480">
        <f t="shared" si="3"/>
        <v>14.223533614456402</v>
      </c>
      <c r="H43" s="480">
        <f>IF(G43&lt;0,2/3,1/3)*G43</f>
        <v>4.7411778714854673</v>
      </c>
      <c r="I43" s="121"/>
      <c r="J43" s="121"/>
      <c r="K43" s="121"/>
      <c r="L43" s="480">
        <f>D43+H43</f>
        <v>16.056925023913809</v>
      </c>
      <c r="M43" s="1120"/>
    </row>
    <row r="44" spans="2:14" x14ac:dyDescent="0.25">
      <c r="B44" s="101">
        <v>6</v>
      </c>
      <c r="C44" s="104" t="s">
        <v>87</v>
      </c>
      <c r="D44" s="503">
        <f>'F1'!J23</f>
        <v>230.48348968799999</v>
      </c>
      <c r="E44" s="480">
        <f>'F1'!K23</f>
        <v>230.48348968799999</v>
      </c>
      <c r="F44" s="480">
        <f t="shared" si="4"/>
        <v>0</v>
      </c>
      <c r="G44" s="480">
        <f t="shared" si="3"/>
        <v>0</v>
      </c>
      <c r="H44" s="480"/>
      <c r="I44" s="23"/>
      <c r="J44" s="23"/>
      <c r="K44" s="23"/>
      <c r="L44" s="480">
        <f>E44</f>
        <v>230.48348968799999</v>
      </c>
    </row>
    <row r="45" spans="2:14" x14ac:dyDescent="0.25">
      <c r="B45" s="101">
        <v>7</v>
      </c>
      <c r="C45" s="23" t="s">
        <v>88</v>
      </c>
      <c r="D45" s="503">
        <f>'F1'!J24</f>
        <v>0</v>
      </c>
      <c r="E45" s="480">
        <f>'F1'!K24</f>
        <v>0</v>
      </c>
      <c r="F45" s="480">
        <f t="shared" si="4"/>
        <v>0</v>
      </c>
      <c r="G45" s="480">
        <f t="shared" si="3"/>
        <v>0</v>
      </c>
      <c r="H45" s="480"/>
      <c r="I45" s="23"/>
      <c r="J45" s="23"/>
      <c r="K45" s="23"/>
      <c r="L45" s="480">
        <f>E45</f>
        <v>0</v>
      </c>
    </row>
    <row r="46" spans="2:14" x14ac:dyDescent="0.25">
      <c r="B46" s="101">
        <v>8</v>
      </c>
      <c r="C46" s="121" t="s">
        <v>994</v>
      </c>
      <c r="D46" s="480"/>
      <c r="E46" s="480">
        <f>'F1'!$K$14</f>
        <v>1.6365934961008002</v>
      </c>
      <c r="F46" s="480"/>
      <c r="G46" s="480"/>
      <c r="H46" s="480"/>
      <c r="I46" s="23"/>
      <c r="J46" s="23"/>
      <c r="K46" s="23"/>
      <c r="L46" s="480">
        <f>E46</f>
        <v>1.6365934961008002</v>
      </c>
    </row>
    <row r="47" spans="2:14" x14ac:dyDescent="0.25">
      <c r="B47" s="101">
        <f>B46+1</f>
        <v>9</v>
      </c>
      <c r="C47" s="13" t="s">
        <v>1413</v>
      </c>
      <c r="E47" s="418">
        <f>'F1'!K25</f>
        <v>0</v>
      </c>
      <c r="L47" s="480">
        <f>E47</f>
        <v>0</v>
      </c>
    </row>
    <row r="48" spans="2:14" s="22" customFormat="1" x14ac:dyDescent="0.25">
      <c r="B48" s="101">
        <f t="shared" ref="B48:B50" si="5">B47+1</f>
        <v>10</v>
      </c>
      <c r="C48" s="26" t="s">
        <v>89</v>
      </c>
      <c r="D48" s="480">
        <f>SUM(D37:D45)</f>
        <v>403.81435640814823</v>
      </c>
      <c r="E48" s="480">
        <f>SUM(E37:E45)</f>
        <v>449.57060552881842</v>
      </c>
      <c r="F48" s="480">
        <f>SUM(F37:F45)</f>
        <v>45.756249120670162</v>
      </c>
      <c r="G48" s="480">
        <f>E48-D48</f>
        <v>45.756249120670191</v>
      </c>
      <c r="H48" s="480"/>
      <c r="I48" s="23"/>
      <c r="J48" s="23"/>
      <c r="K48" s="23"/>
      <c r="L48" s="503">
        <f>SUM(L37:L46)</f>
        <v>420.70807890420804</v>
      </c>
      <c r="M48" s="372"/>
      <c r="N48" s="13"/>
    </row>
    <row r="49" spans="2:14" x14ac:dyDescent="0.25">
      <c r="B49" s="101">
        <f t="shared" si="5"/>
        <v>11</v>
      </c>
      <c r="C49" s="23" t="s">
        <v>90</v>
      </c>
      <c r="D49" s="503">
        <f>'F1'!J27+'F1'!J28</f>
        <v>1.6053647442633745</v>
      </c>
      <c r="E49" s="503">
        <f>'F1'!K27+'F1'!K28</f>
        <v>1.6053647442633745</v>
      </c>
      <c r="F49" s="503">
        <f>E49-D49</f>
        <v>0</v>
      </c>
      <c r="G49" s="503">
        <f>E49-D49</f>
        <v>0</v>
      </c>
      <c r="H49" s="503"/>
      <c r="I49" s="26"/>
      <c r="J49" s="26"/>
      <c r="K49" s="26"/>
      <c r="L49" s="480">
        <f>E49</f>
        <v>1.6053647442633745</v>
      </c>
      <c r="M49" s="1121"/>
      <c r="N49" s="22"/>
    </row>
    <row r="50" spans="2:14" s="22" customFormat="1" x14ac:dyDescent="0.25">
      <c r="B50" s="101">
        <f t="shared" si="5"/>
        <v>12</v>
      </c>
      <c r="C50" s="23" t="s">
        <v>91</v>
      </c>
      <c r="D50" s="503">
        <f>'F1'!J29</f>
        <v>0.35476495899999999</v>
      </c>
      <c r="E50" s="503">
        <f>'F1'!K29</f>
        <v>0.35476495899999999</v>
      </c>
      <c r="F50" s="480">
        <f>E50-D50</f>
        <v>0</v>
      </c>
      <c r="G50" s="480">
        <f>E50-D50</f>
        <v>0</v>
      </c>
      <c r="H50" s="480"/>
      <c r="I50" s="23"/>
      <c r="J50" s="23"/>
      <c r="K50" s="23"/>
      <c r="L50" s="480">
        <f>E50</f>
        <v>0.35476495899999999</v>
      </c>
      <c r="M50" s="372"/>
      <c r="N50" s="13"/>
    </row>
    <row r="51" spans="2:14" s="22" customFormat="1" x14ac:dyDescent="0.25">
      <c r="B51" s="101" t="s">
        <v>170</v>
      </c>
      <c r="C51" s="26" t="s">
        <v>92</v>
      </c>
      <c r="D51" s="503">
        <f>D48+D49-D50</f>
        <v>405.0649561934116</v>
      </c>
      <c r="E51" s="503">
        <f>E48+E49-E50</f>
        <v>450.82120531408179</v>
      </c>
      <c r="F51" s="503">
        <f>F48+F49-F50</f>
        <v>45.756249120670162</v>
      </c>
      <c r="G51" s="503">
        <f>E51-D51</f>
        <v>45.756249120670191</v>
      </c>
      <c r="H51" s="503"/>
      <c r="I51" s="26"/>
      <c r="J51" s="26"/>
      <c r="K51" s="26"/>
      <c r="L51" s="503">
        <f>L48+L49-L50</f>
        <v>421.95867868947141</v>
      </c>
      <c r="M51" s="1122">
        <v>0</v>
      </c>
    </row>
    <row r="52" spans="2:14" s="22" customFormat="1" x14ac:dyDescent="0.25">
      <c r="B52" s="120"/>
      <c r="C52" s="106"/>
      <c r="D52" s="503"/>
      <c r="E52" s="503"/>
      <c r="F52" s="503"/>
      <c r="G52" s="503"/>
      <c r="H52" s="503"/>
      <c r="I52" s="26"/>
      <c r="J52" s="26"/>
      <c r="K52" s="26"/>
      <c r="L52" s="480"/>
      <c r="M52" s="1121"/>
    </row>
    <row r="53" spans="2:14" x14ac:dyDescent="0.25">
      <c r="B53" s="120" t="s">
        <v>183</v>
      </c>
      <c r="C53" s="106" t="s">
        <v>307</v>
      </c>
      <c r="D53" s="503"/>
      <c r="E53" s="503"/>
      <c r="F53" s="503"/>
      <c r="G53" s="503"/>
      <c r="H53" s="503"/>
      <c r="I53" s="26"/>
      <c r="J53" s="26"/>
      <c r="K53" s="26"/>
      <c r="L53" s="480"/>
      <c r="M53" s="1121"/>
      <c r="N53" s="22"/>
    </row>
    <row r="54" spans="2:14" x14ac:dyDescent="0.25">
      <c r="B54" s="105">
        <f>B50+1</f>
        <v>13</v>
      </c>
      <c r="C54" s="104" t="s">
        <v>308</v>
      </c>
      <c r="D54" s="480"/>
      <c r="E54" s="480">
        <f>'F9'!N21</f>
        <v>366.51137068637865</v>
      </c>
      <c r="F54" s="480">
        <f>E54-D54</f>
        <v>366.51137068637865</v>
      </c>
      <c r="G54" s="480"/>
      <c r="H54" s="480"/>
      <c r="I54" s="23"/>
      <c r="J54" s="23"/>
      <c r="K54" s="23"/>
      <c r="L54" s="480">
        <f>E54</f>
        <v>366.51137068637865</v>
      </c>
      <c r="M54" s="1121"/>
    </row>
    <row r="55" spans="2:14" x14ac:dyDescent="0.25">
      <c r="B55" s="500">
        <f>B54+1</f>
        <v>14</v>
      </c>
      <c r="C55" s="122" t="s">
        <v>884</v>
      </c>
      <c r="D55" s="480"/>
      <c r="E55" s="480"/>
      <c r="F55" s="480"/>
      <c r="G55" s="505">
        <f>$P$11</f>
        <v>0</v>
      </c>
      <c r="H55" s="504">
        <f>IF(G55&lt;0,2/3,1/3)*G55</f>
        <v>0</v>
      </c>
      <c r="I55" s="23"/>
      <c r="J55" s="23"/>
      <c r="K55" s="23"/>
      <c r="L55" s="480">
        <f>H55</f>
        <v>0</v>
      </c>
      <c r="M55" s="1121"/>
    </row>
    <row r="56" spans="2:14" s="22" customFormat="1" x14ac:dyDescent="0.25">
      <c r="B56" s="500">
        <f>B55+1</f>
        <v>15</v>
      </c>
      <c r="C56" s="501" t="s">
        <v>885</v>
      </c>
      <c r="D56" s="480"/>
      <c r="E56" s="480"/>
      <c r="F56" s="480"/>
      <c r="G56" s="480"/>
      <c r="H56" s="480"/>
      <c r="I56" s="23"/>
      <c r="J56" s="23"/>
      <c r="K56" s="23"/>
      <c r="L56" s="503">
        <f>SUM(L54:L55)</f>
        <v>366.51137068637865</v>
      </c>
      <c r="M56" s="1122">
        <v>0</v>
      </c>
      <c r="N56" s="13"/>
    </row>
    <row r="57" spans="2:14" s="22" customFormat="1" x14ac:dyDescent="0.25">
      <c r="B57" s="120" t="s">
        <v>184</v>
      </c>
      <c r="C57" s="106" t="s">
        <v>316</v>
      </c>
      <c r="D57" s="502"/>
      <c r="E57" s="502"/>
      <c r="F57" s="502"/>
      <c r="G57" s="502"/>
      <c r="H57" s="502"/>
      <c r="I57" s="26"/>
      <c r="J57" s="26"/>
      <c r="K57" s="26"/>
      <c r="L57" s="417">
        <f>L51-L56</f>
        <v>55.447308003092758</v>
      </c>
      <c r="M57" s="1122">
        <v>1.1368683772161603E-13</v>
      </c>
    </row>
    <row r="58" spans="2:14" s="22" customFormat="1" x14ac:dyDescent="0.25">
      <c r="B58" s="123" t="s">
        <v>648</v>
      </c>
      <c r="C58" s="13"/>
      <c r="D58" s="83"/>
      <c r="E58" s="83"/>
      <c r="F58" s="83"/>
      <c r="G58" s="83"/>
      <c r="H58" s="83"/>
      <c r="I58" s="83"/>
      <c r="J58" s="83"/>
      <c r="K58" s="83"/>
      <c r="L58" s="13"/>
      <c r="M58" s="1121">
        <f>M57*10^7</f>
        <v>1.1368683772161603E-6</v>
      </c>
    </row>
    <row r="59" spans="2:14" s="22" customFormat="1" x14ac:dyDescent="0.25">
      <c r="B59" s="13"/>
      <c r="C59" s="13"/>
      <c r="D59" s="13"/>
      <c r="E59" s="13"/>
      <c r="F59" s="13"/>
      <c r="G59" s="13"/>
      <c r="H59" s="13"/>
      <c r="I59" s="13"/>
      <c r="J59" s="13"/>
      <c r="K59" s="13"/>
      <c r="L59" s="13"/>
      <c r="M59" s="372"/>
    </row>
    <row r="64" spans="2:14" s="22" customFormat="1" x14ac:dyDescent="0.25">
      <c r="B64" s="13"/>
      <c r="C64" s="13"/>
      <c r="D64" s="13"/>
      <c r="E64" s="13"/>
      <c r="F64" s="13"/>
      <c r="G64" s="13"/>
      <c r="H64" s="13"/>
      <c r="I64" s="13"/>
      <c r="J64" s="13"/>
      <c r="K64" s="13"/>
      <c r="L64" s="13"/>
      <c r="M64" s="372"/>
    </row>
    <row r="75" spans="2:16" s="22" customFormat="1" x14ac:dyDescent="0.25">
      <c r="B75" s="13"/>
      <c r="C75" s="13"/>
      <c r="D75" s="13"/>
      <c r="E75" s="13"/>
      <c r="F75" s="13"/>
      <c r="G75" s="13"/>
      <c r="H75" s="13"/>
      <c r="I75" s="13"/>
      <c r="J75" s="13"/>
      <c r="K75" s="13"/>
      <c r="L75" s="13"/>
      <c r="M75" s="372"/>
    </row>
    <row r="77" spans="2:16" s="22" customFormat="1" x14ac:dyDescent="0.25">
      <c r="B77" s="13"/>
      <c r="C77" s="13"/>
      <c r="D77" s="13"/>
      <c r="E77" s="13"/>
      <c r="F77" s="13"/>
      <c r="G77" s="13"/>
      <c r="H77" s="13"/>
      <c r="I77" s="13"/>
      <c r="J77" s="13"/>
      <c r="K77" s="13"/>
      <c r="L77" s="13"/>
      <c r="M77" s="372"/>
      <c r="O77" s="13"/>
      <c r="P77" s="13"/>
    </row>
    <row r="78" spans="2:16" s="22" customFormat="1" x14ac:dyDescent="0.25">
      <c r="B78" s="13"/>
      <c r="C78" s="13"/>
      <c r="D78" s="13"/>
      <c r="E78" s="13"/>
      <c r="F78" s="13"/>
      <c r="G78" s="13"/>
      <c r="H78" s="13"/>
      <c r="I78" s="13"/>
      <c r="J78" s="13"/>
      <c r="K78" s="13"/>
      <c r="L78" s="13"/>
      <c r="M78" s="372"/>
    </row>
    <row r="79" spans="2:16" s="22" customFormat="1" x14ac:dyDescent="0.25">
      <c r="B79" s="13"/>
      <c r="C79" s="13"/>
      <c r="D79" s="13"/>
      <c r="E79" s="13"/>
      <c r="F79" s="13"/>
      <c r="G79" s="13"/>
      <c r="H79" s="13"/>
      <c r="I79" s="13"/>
      <c r="J79" s="13"/>
      <c r="K79" s="13"/>
      <c r="L79" s="13"/>
      <c r="M79" s="372"/>
    </row>
    <row r="80" spans="2:16" x14ac:dyDescent="0.25">
      <c r="O80" s="22"/>
      <c r="P80" s="22"/>
    </row>
    <row r="83" spans="2:16" s="22" customFormat="1" x14ac:dyDescent="0.25">
      <c r="B83" s="13"/>
      <c r="C83" s="13"/>
      <c r="D83" s="13"/>
      <c r="E83" s="13"/>
      <c r="F83" s="13"/>
      <c r="G83" s="13"/>
      <c r="H83" s="13"/>
      <c r="I83" s="13"/>
      <c r="J83" s="13"/>
      <c r="K83" s="13"/>
      <c r="L83" s="13"/>
      <c r="M83" s="372"/>
      <c r="O83" s="13"/>
      <c r="P83" s="13"/>
    </row>
    <row r="84" spans="2:16" x14ac:dyDescent="0.25">
      <c r="O84" s="22"/>
      <c r="P84" s="22"/>
    </row>
  </sheetData>
  <mergeCells count="3">
    <mergeCell ref="B2:L2"/>
    <mergeCell ref="B3:L3"/>
    <mergeCell ref="B4:L4"/>
  </mergeCells>
  <pageMargins left="1.1200000000000001" right="0.27" top="1.24" bottom="1" header="0.5" footer="0.5"/>
  <pageSetup paperSize="9" scale="4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29"/>
  <sheetViews>
    <sheetView workbookViewId="0">
      <selection activeCell="A3" sqref="A3:T3"/>
    </sheetView>
  </sheetViews>
  <sheetFormatPr defaultColWidth="9.08984375" defaultRowHeight="14" x14ac:dyDescent="0.3"/>
  <cols>
    <col min="1" max="1" width="9.08984375" style="661"/>
    <col min="2" max="2" width="21.6328125" style="661" customWidth="1"/>
    <col min="3" max="3" width="23" style="661" customWidth="1"/>
    <col min="4" max="4" width="19.453125" style="661" customWidth="1"/>
    <col min="5" max="5" width="21.6328125" style="661" customWidth="1"/>
    <col min="6" max="6" width="38" style="661" customWidth="1"/>
    <col min="7" max="7" width="24.453125" style="661" customWidth="1"/>
    <col min="8" max="8" width="10.6328125" style="661" bestFit="1" customWidth="1"/>
    <col min="9" max="257" width="9.08984375" style="661"/>
    <col min="258" max="258" width="21.6328125" style="661" customWidth="1"/>
    <col min="259" max="259" width="27.90625" style="661" customWidth="1"/>
    <col min="260" max="260" width="33.90625" style="661" customWidth="1"/>
    <col min="261" max="261" width="60" style="661" customWidth="1"/>
    <col min="262" max="262" width="164.08984375" style="661" customWidth="1"/>
    <col min="263" max="263" width="24.453125" style="661" customWidth="1"/>
    <col min="264" max="264" width="10.6328125" style="661" bestFit="1" customWidth="1"/>
    <col min="265" max="513" width="9.08984375" style="661"/>
    <col min="514" max="514" width="21.6328125" style="661" customWidth="1"/>
    <col min="515" max="515" width="27.90625" style="661" customWidth="1"/>
    <col min="516" max="516" width="33.90625" style="661" customWidth="1"/>
    <col min="517" max="517" width="60" style="661" customWidth="1"/>
    <col min="518" max="518" width="164.08984375" style="661" customWidth="1"/>
    <col min="519" max="519" width="24.453125" style="661" customWidth="1"/>
    <col min="520" max="520" width="10.6328125" style="661" bestFit="1" customWidth="1"/>
    <col min="521" max="769" width="9.08984375" style="661"/>
    <col min="770" max="770" width="21.6328125" style="661" customWidth="1"/>
    <col min="771" max="771" width="27.90625" style="661" customWidth="1"/>
    <col min="772" max="772" width="33.90625" style="661" customWidth="1"/>
    <col min="773" max="773" width="60" style="661" customWidth="1"/>
    <col min="774" max="774" width="164.08984375" style="661" customWidth="1"/>
    <col min="775" max="775" width="24.453125" style="661" customWidth="1"/>
    <col min="776" max="776" width="10.6328125" style="661" bestFit="1" customWidth="1"/>
    <col min="777" max="1025" width="9.08984375" style="661"/>
    <col min="1026" max="1026" width="21.6328125" style="661" customWidth="1"/>
    <col min="1027" max="1027" width="27.90625" style="661" customWidth="1"/>
    <col min="1028" max="1028" width="33.90625" style="661" customWidth="1"/>
    <col min="1029" max="1029" width="60" style="661" customWidth="1"/>
    <col min="1030" max="1030" width="164.08984375" style="661" customWidth="1"/>
    <col min="1031" max="1031" width="24.453125" style="661" customWidth="1"/>
    <col min="1032" max="1032" width="10.6328125" style="661" bestFit="1" customWidth="1"/>
    <col min="1033" max="1281" width="9.08984375" style="661"/>
    <col min="1282" max="1282" width="21.6328125" style="661" customWidth="1"/>
    <col min="1283" max="1283" width="27.90625" style="661" customWidth="1"/>
    <col min="1284" max="1284" width="33.90625" style="661" customWidth="1"/>
    <col min="1285" max="1285" width="60" style="661" customWidth="1"/>
    <col min="1286" max="1286" width="164.08984375" style="661" customWidth="1"/>
    <col min="1287" max="1287" width="24.453125" style="661" customWidth="1"/>
    <col min="1288" max="1288" width="10.6328125" style="661" bestFit="1" customWidth="1"/>
    <col min="1289" max="1537" width="9.08984375" style="661"/>
    <col min="1538" max="1538" width="21.6328125" style="661" customWidth="1"/>
    <col min="1539" max="1539" width="27.90625" style="661" customWidth="1"/>
    <col min="1540" max="1540" width="33.90625" style="661" customWidth="1"/>
    <col min="1541" max="1541" width="60" style="661" customWidth="1"/>
    <col min="1542" max="1542" width="164.08984375" style="661" customWidth="1"/>
    <col min="1543" max="1543" width="24.453125" style="661" customWidth="1"/>
    <col min="1544" max="1544" width="10.6328125" style="661" bestFit="1" customWidth="1"/>
    <col min="1545" max="1793" width="9.08984375" style="661"/>
    <col min="1794" max="1794" width="21.6328125" style="661" customWidth="1"/>
    <col min="1795" max="1795" width="27.90625" style="661" customWidth="1"/>
    <col min="1796" max="1796" width="33.90625" style="661" customWidth="1"/>
    <col min="1797" max="1797" width="60" style="661" customWidth="1"/>
    <col min="1798" max="1798" width="164.08984375" style="661" customWidth="1"/>
    <col min="1799" max="1799" width="24.453125" style="661" customWidth="1"/>
    <col min="1800" max="1800" width="10.6328125" style="661" bestFit="1" customWidth="1"/>
    <col min="1801" max="2049" width="9.08984375" style="661"/>
    <col min="2050" max="2050" width="21.6328125" style="661" customWidth="1"/>
    <col min="2051" max="2051" width="27.90625" style="661" customWidth="1"/>
    <col min="2052" max="2052" width="33.90625" style="661" customWidth="1"/>
    <col min="2053" max="2053" width="60" style="661" customWidth="1"/>
    <col min="2054" max="2054" width="164.08984375" style="661" customWidth="1"/>
    <col min="2055" max="2055" width="24.453125" style="661" customWidth="1"/>
    <col min="2056" max="2056" width="10.6328125" style="661" bestFit="1" customWidth="1"/>
    <col min="2057" max="2305" width="9.08984375" style="661"/>
    <col min="2306" max="2306" width="21.6328125" style="661" customWidth="1"/>
    <col min="2307" max="2307" width="27.90625" style="661" customWidth="1"/>
    <col min="2308" max="2308" width="33.90625" style="661" customWidth="1"/>
    <col min="2309" max="2309" width="60" style="661" customWidth="1"/>
    <col min="2310" max="2310" width="164.08984375" style="661" customWidth="1"/>
    <col min="2311" max="2311" width="24.453125" style="661" customWidth="1"/>
    <col min="2312" max="2312" width="10.6328125" style="661" bestFit="1" customWidth="1"/>
    <col min="2313" max="2561" width="9.08984375" style="661"/>
    <col min="2562" max="2562" width="21.6328125" style="661" customWidth="1"/>
    <col min="2563" max="2563" width="27.90625" style="661" customWidth="1"/>
    <col min="2564" max="2564" width="33.90625" style="661" customWidth="1"/>
    <col min="2565" max="2565" width="60" style="661" customWidth="1"/>
    <col min="2566" max="2566" width="164.08984375" style="661" customWidth="1"/>
    <col min="2567" max="2567" width="24.453125" style="661" customWidth="1"/>
    <col min="2568" max="2568" width="10.6328125" style="661" bestFit="1" customWidth="1"/>
    <col min="2569" max="2817" width="9.08984375" style="661"/>
    <col min="2818" max="2818" width="21.6328125" style="661" customWidth="1"/>
    <col min="2819" max="2819" width="27.90625" style="661" customWidth="1"/>
    <col min="2820" max="2820" width="33.90625" style="661" customWidth="1"/>
    <col min="2821" max="2821" width="60" style="661" customWidth="1"/>
    <col min="2822" max="2822" width="164.08984375" style="661" customWidth="1"/>
    <col min="2823" max="2823" width="24.453125" style="661" customWidth="1"/>
    <col min="2824" max="2824" width="10.6328125" style="661" bestFit="1" customWidth="1"/>
    <col min="2825" max="3073" width="9.08984375" style="661"/>
    <col min="3074" max="3074" width="21.6328125" style="661" customWidth="1"/>
    <col min="3075" max="3075" width="27.90625" style="661" customWidth="1"/>
    <col min="3076" max="3076" width="33.90625" style="661" customWidth="1"/>
    <col min="3077" max="3077" width="60" style="661" customWidth="1"/>
    <col min="3078" max="3078" width="164.08984375" style="661" customWidth="1"/>
    <col min="3079" max="3079" width="24.453125" style="661" customWidth="1"/>
    <col min="3080" max="3080" width="10.6328125" style="661" bestFit="1" customWidth="1"/>
    <col min="3081" max="3329" width="9.08984375" style="661"/>
    <col min="3330" max="3330" width="21.6328125" style="661" customWidth="1"/>
    <col min="3331" max="3331" width="27.90625" style="661" customWidth="1"/>
    <col min="3332" max="3332" width="33.90625" style="661" customWidth="1"/>
    <col min="3333" max="3333" width="60" style="661" customWidth="1"/>
    <col min="3334" max="3334" width="164.08984375" style="661" customWidth="1"/>
    <col min="3335" max="3335" width="24.453125" style="661" customWidth="1"/>
    <col min="3336" max="3336" width="10.6328125" style="661" bestFit="1" customWidth="1"/>
    <col min="3337" max="3585" width="9.08984375" style="661"/>
    <col min="3586" max="3586" width="21.6328125" style="661" customWidth="1"/>
    <col min="3587" max="3587" width="27.90625" style="661" customWidth="1"/>
    <col min="3588" max="3588" width="33.90625" style="661" customWidth="1"/>
    <col min="3589" max="3589" width="60" style="661" customWidth="1"/>
    <col min="3590" max="3590" width="164.08984375" style="661" customWidth="1"/>
    <col min="3591" max="3591" width="24.453125" style="661" customWidth="1"/>
    <col min="3592" max="3592" width="10.6328125" style="661" bestFit="1" customWidth="1"/>
    <col min="3593" max="3841" width="9.08984375" style="661"/>
    <col min="3842" max="3842" width="21.6328125" style="661" customWidth="1"/>
    <col min="3843" max="3843" width="27.90625" style="661" customWidth="1"/>
    <col min="3844" max="3844" width="33.90625" style="661" customWidth="1"/>
    <col min="3845" max="3845" width="60" style="661" customWidth="1"/>
    <col min="3846" max="3846" width="164.08984375" style="661" customWidth="1"/>
    <col min="3847" max="3847" width="24.453125" style="661" customWidth="1"/>
    <col min="3848" max="3848" width="10.6328125" style="661" bestFit="1" customWidth="1"/>
    <col min="3849" max="4097" width="9.08984375" style="661"/>
    <col min="4098" max="4098" width="21.6328125" style="661" customWidth="1"/>
    <col min="4099" max="4099" width="27.90625" style="661" customWidth="1"/>
    <col min="4100" max="4100" width="33.90625" style="661" customWidth="1"/>
    <col min="4101" max="4101" width="60" style="661" customWidth="1"/>
    <col min="4102" max="4102" width="164.08984375" style="661" customWidth="1"/>
    <col min="4103" max="4103" width="24.453125" style="661" customWidth="1"/>
    <col min="4104" max="4104" width="10.6328125" style="661" bestFit="1" customWidth="1"/>
    <col min="4105" max="4353" width="9.08984375" style="661"/>
    <col min="4354" max="4354" width="21.6328125" style="661" customWidth="1"/>
    <col min="4355" max="4355" width="27.90625" style="661" customWidth="1"/>
    <col min="4356" max="4356" width="33.90625" style="661" customWidth="1"/>
    <col min="4357" max="4357" width="60" style="661" customWidth="1"/>
    <col min="4358" max="4358" width="164.08984375" style="661" customWidth="1"/>
    <col min="4359" max="4359" width="24.453125" style="661" customWidth="1"/>
    <col min="4360" max="4360" width="10.6328125" style="661" bestFit="1" customWidth="1"/>
    <col min="4361" max="4609" width="9.08984375" style="661"/>
    <col min="4610" max="4610" width="21.6328125" style="661" customWidth="1"/>
    <col min="4611" max="4611" width="27.90625" style="661" customWidth="1"/>
    <col min="4612" max="4612" width="33.90625" style="661" customWidth="1"/>
    <col min="4613" max="4613" width="60" style="661" customWidth="1"/>
    <col min="4614" max="4614" width="164.08984375" style="661" customWidth="1"/>
    <col min="4615" max="4615" width="24.453125" style="661" customWidth="1"/>
    <col min="4616" max="4616" width="10.6328125" style="661" bestFit="1" customWidth="1"/>
    <col min="4617" max="4865" width="9.08984375" style="661"/>
    <col min="4866" max="4866" width="21.6328125" style="661" customWidth="1"/>
    <col min="4867" max="4867" width="27.90625" style="661" customWidth="1"/>
    <col min="4868" max="4868" width="33.90625" style="661" customWidth="1"/>
    <col min="4869" max="4869" width="60" style="661" customWidth="1"/>
    <col min="4870" max="4870" width="164.08984375" style="661" customWidth="1"/>
    <col min="4871" max="4871" width="24.453125" style="661" customWidth="1"/>
    <col min="4872" max="4872" width="10.6328125" style="661" bestFit="1" customWidth="1"/>
    <col min="4873" max="5121" width="9.08984375" style="661"/>
    <col min="5122" max="5122" width="21.6328125" style="661" customWidth="1"/>
    <col min="5123" max="5123" width="27.90625" style="661" customWidth="1"/>
    <col min="5124" max="5124" width="33.90625" style="661" customWidth="1"/>
    <col min="5125" max="5125" width="60" style="661" customWidth="1"/>
    <col min="5126" max="5126" width="164.08984375" style="661" customWidth="1"/>
    <col min="5127" max="5127" width="24.453125" style="661" customWidth="1"/>
    <col min="5128" max="5128" width="10.6328125" style="661" bestFit="1" customWidth="1"/>
    <col min="5129" max="5377" width="9.08984375" style="661"/>
    <col min="5378" max="5378" width="21.6328125" style="661" customWidth="1"/>
    <col min="5379" max="5379" width="27.90625" style="661" customWidth="1"/>
    <col min="5380" max="5380" width="33.90625" style="661" customWidth="1"/>
    <col min="5381" max="5381" width="60" style="661" customWidth="1"/>
    <col min="5382" max="5382" width="164.08984375" style="661" customWidth="1"/>
    <col min="5383" max="5383" width="24.453125" style="661" customWidth="1"/>
    <col min="5384" max="5384" width="10.6328125" style="661" bestFit="1" customWidth="1"/>
    <col min="5385" max="5633" width="9.08984375" style="661"/>
    <col min="5634" max="5634" width="21.6328125" style="661" customWidth="1"/>
    <col min="5635" max="5635" width="27.90625" style="661" customWidth="1"/>
    <col min="5636" max="5636" width="33.90625" style="661" customWidth="1"/>
    <col min="5637" max="5637" width="60" style="661" customWidth="1"/>
    <col min="5638" max="5638" width="164.08984375" style="661" customWidth="1"/>
    <col min="5639" max="5639" width="24.453125" style="661" customWidth="1"/>
    <col min="5640" max="5640" width="10.6328125" style="661" bestFit="1" customWidth="1"/>
    <col min="5641" max="5889" width="9.08984375" style="661"/>
    <col min="5890" max="5890" width="21.6328125" style="661" customWidth="1"/>
    <col min="5891" max="5891" width="27.90625" style="661" customWidth="1"/>
    <col min="5892" max="5892" width="33.90625" style="661" customWidth="1"/>
    <col min="5893" max="5893" width="60" style="661" customWidth="1"/>
    <col min="5894" max="5894" width="164.08984375" style="661" customWidth="1"/>
    <col min="5895" max="5895" width="24.453125" style="661" customWidth="1"/>
    <col min="5896" max="5896" width="10.6328125" style="661" bestFit="1" customWidth="1"/>
    <col min="5897" max="6145" width="9.08984375" style="661"/>
    <col min="6146" max="6146" width="21.6328125" style="661" customWidth="1"/>
    <col min="6147" max="6147" width="27.90625" style="661" customWidth="1"/>
    <col min="6148" max="6148" width="33.90625" style="661" customWidth="1"/>
    <col min="6149" max="6149" width="60" style="661" customWidth="1"/>
    <col min="6150" max="6150" width="164.08984375" style="661" customWidth="1"/>
    <col min="6151" max="6151" width="24.453125" style="661" customWidth="1"/>
    <col min="6152" max="6152" width="10.6328125" style="661" bestFit="1" customWidth="1"/>
    <col min="6153" max="6401" width="9.08984375" style="661"/>
    <col min="6402" max="6402" width="21.6328125" style="661" customWidth="1"/>
    <col min="6403" max="6403" width="27.90625" style="661" customWidth="1"/>
    <col min="6404" max="6404" width="33.90625" style="661" customWidth="1"/>
    <col min="6405" max="6405" width="60" style="661" customWidth="1"/>
    <col min="6406" max="6406" width="164.08984375" style="661" customWidth="1"/>
    <col min="6407" max="6407" width="24.453125" style="661" customWidth="1"/>
    <col min="6408" max="6408" width="10.6328125" style="661" bestFit="1" customWidth="1"/>
    <col min="6409" max="6657" width="9.08984375" style="661"/>
    <col min="6658" max="6658" width="21.6328125" style="661" customWidth="1"/>
    <col min="6659" max="6659" width="27.90625" style="661" customWidth="1"/>
    <col min="6660" max="6660" width="33.90625" style="661" customWidth="1"/>
    <col min="6661" max="6661" width="60" style="661" customWidth="1"/>
    <col min="6662" max="6662" width="164.08984375" style="661" customWidth="1"/>
    <col min="6663" max="6663" width="24.453125" style="661" customWidth="1"/>
    <col min="6664" max="6664" width="10.6328125" style="661" bestFit="1" customWidth="1"/>
    <col min="6665" max="6913" width="9.08984375" style="661"/>
    <col min="6914" max="6914" width="21.6328125" style="661" customWidth="1"/>
    <col min="6915" max="6915" width="27.90625" style="661" customWidth="1"/>
    <col min="6916" max="6916" width="33.90625" style="661" customWidth="1"/>
    <col min="6917" max="6917" width="60" style="661" customWidth="1"/>
    <col min="6918" max="6918" width="164.08984375" style="661" customWidth="1"/>
    <col min="6919" max="6919" width="24.453125" style="661" customWidth="1"/>
    <col min="6920" max="6920" width="10.6328125" style="661" bestFit="1" customWidth="1"/>
    <col min="6921" max="7169" width="9.08984375" style="661"/>
    <col min="7170" max="7170" width="21.6328125" style="661" customWidth="1"/>
    <col min="7171" max="7171" width="27.90625" style="661" customWidth="1"/>
    <col min="7172" max="7172" width="33.90625" style="661" customWidth="1"/>
    <col min="7173" max="7173" width="60" style="661" customWidth="1"/>
    <col min="7174" max="7174" width="164.08984375" style="661" customWidth="1"/>
    <col min="7175" max="7175" width="24.453125" style="661" customWidth="1"/>
    <col min="7176" max="7176" width="10.6328125" style="661" bestFit="1" customWidth="1"/>
    <col min="7177" max="7425" width="9.08984375" style="661"/>
    <col min="7426" max="7426" width="21.6328125" style="661" customWidth="1"/>
    <col min="7427" max="7427" width="27.90625" style="661" customWidth="1"/>
    <col min="7428" max="7428" width="33.90625" style="661" customWidth="1"/>
    <col min="7429" max="7429" width="60" style="661" customWidth="1"/>
    <col min="7430" max="7430" width="164.08984375" style="661" customWidth="1"/>
    <col min="7431" max="7431" width="24.453125" style="661" customWidth="1"/>
    <col min="7432" max="7432" width="10.6328125" style="661" bestFit="1" customWidth="1"/>
    <col min="7433" max="7681" width="9.08984375" style="661"/>
    <col min="7682" max="7682" width="21.6328125" style="661" customWidth="1"/>
    <col min="7683" max="7683" width="27.90625" style="661" customWidth="1"/>
    <col min="7684" max="7684" width="33.90625" style="661" customWidth="1"/>
    <col min="7685" max="7685" width="60" style="661" customWidth="1"/>
    <col min="7686" max="7686" width="164.08984375" style="661" customWidth="1"/>
    <col min="7687" max="7687" width="24.453125" style="661" customWidth="1"/>
    <col min="7688" max="7688" width="10.6328125" style="661" bestFit="1" customWidth="1"/>
    <col min="7689" max="7937" width="9.08984375" style="661"/>
    <col min="7938" max="7938" width="21.6328125" style="661" customWidth="1"/>
    <col min="7939" max="7939" width="27.90625" style="661" customWidth="1"/>
    <col min="7940" max="7940" width="33.90625" style="661" customWidth="1"/>
    <col min="7941" max="7941" width="60" style="661" customWidth="1"/>
    <col min="7942" max="7942" width="164.08984375" style="661" customWidth="1"/>
    <col min="7943" max="7943" width="24.453125" style="661" customWidth="1"/>
    <col min="7944" max="7944" width="10.6328125" style="661" bestFit="1" customWidth="1"/>
    <col min="7945" max="8193" width="9.08984375" style="661"/>
    <col min="8194" max="8194" width="21.6328125" style="661" customWidth="1"/>
    <col min="8195" max="8195" width="27.90625" style="661" customWidth="1"/>
    <col min="8196" max="8196" width="33.90625" style="661" customWidth="1"/>
    <col min="8197" max="8197" width="60" style="661" customWidth="1"/>
    <col min="8198" max="8198" width="164.08984375" style="661" customWidth="1"/>
    <col min="8199" max="8199" width="24.453125" style="661" customWidth="1"/>
    <col min="8200" max="8200" width="10.6328125" style="661" bestFit="1" customWidth="1"/>
    <col min="8201" max="8449" width="9.08984375" style="661"/>
    <col min="8450" max="8450" width="21.6328125" style="661" customWidth="1"/>
    <col min="8451" max="8451" width="27.90625" style="661" customWidth="1"/>
    <col min="8452" max="8452" width="33.90625" style="661" customWidth="1"/>
    <col min="8453" max="8453" width="60" style="661" customWidth="1"/>
    <col min="8454" max="8454" width="164.08984375" style="661" customWidth="1"/>
    <col min="8455" max="8455" width="24.453125" style="661" customWidth="1"/>
    <col min="8456" max="8456" width="10.6328125" style="661" bestFit="1" customWidth="1"/>
    <col min="8457" max="8705" width="9.08984375" style="661"/>
    <col min="8706" max="8706" width="21.6328125" style="661" customWidth="1"/>
    <col min="8707" max="8707" width="27.90625" style="661" customWidth="1"/>
    <col min="8708" max="8708" width="33.90625" style="661" customWidth="1"/>
    <col min="8709" max="8709" width="60" style="661" customWidth="1"/>
    <col min="8710" max="8710" width="164.08984375" style="661" customWidth="1"/>
    <col min="8711" max="8711" width="24.453125" style="661" customWidth="1"/>
    <col min="8712" max="8712" width="10.6328125" style="661" bestFit="1" customWidth="1"/>
    <col min="8713" max="8961" width="9.08984375" style="661"/>
    <col min="8962" max="8962" width="21.6328125" style="661" customWidth="1"/>
    <col min="8963" max="8963" width="27.90625" style="661" customWidth="1"/>
    <col min="8964" max="8964" width="33.90625" style="661" customWidth="1"/>
    <col min="8965" max="8965" width="60" style="661" customWidth="1"/>
    <col min="8966" max="8966" width="164.08984375" style="661" customWidth="1"/>
    <col min="8967" max="8967" width="24.453125" style="661" customWidth="1"/>
    <col min="8968" max="8968" width="10.6328125" style="661" bestFit="1" customWidth="1"/>
    <col min="8969" max="9217" width="9.08984375" style="661"/>
    <col min="9218" max="9218" width="21.6328125" style="661" customWidth="1"/>
    <col min="9219" max="9219" width="27.90625" style="661" customWidth="1"/>
    <col min="9220" max="9220" width="33.90625" style="661" customWidth="1"/>
    <col min="9221" max="9221" width="60" style="661" customWidth="1"/>
    <col min="9222" max="9222" width="164.08984375" style="661" customWidth="1"/>
    <col min="9223" max="9223" width="24.453125" style="661" customWidth="1"/>
    <col min="9224" max="9224" width="10.6328125" style="661" bestFit="1" customWidth="1"/>
    <col min="9225" max="9473" width="9.08984375" style="661"/>
    <col min="9474" max="9474" width="21.6328125" style="661" customWidth="1"/>
    <col min="9475" max="9475" width="27.90625" style="661" customWidth="1"/>
    <col min="9476" max="9476" width="33.90625" style="661" customWidth="1"/>
    <col min="9477" max="9477" width="60" style="661" customWidth="1"/>
    <col min="9478" max="9478" width="164.08984375" style="661" customWidth="1"/>
    <col min="9479" max="9479" width="24.453125" style="661" customWidth="1"/>
    <col min="9480" max="9480" width="10.6328125" style="661" bestFit="1" customWidth="1"/>
    <col min="9481" max="9729" width="9.08984375" style="661"/>
    <col min="9730" max="9730" width="21.6328125" style="661" customWidth="1"/>
    <col min="9731" max="9731" width="27.90625" style="661" customWidth="1"/>
    <col min="9732" max="9732" width="33.90625" style="661" customWidth="1"/>
    <col min="9733" max="9733" width="60" style="661" customWidth="1"/>
    <col min="9734" max="9734" width="164.08984375" style="661" customWidth="1"/>
    <col min="9735" max="9735" width="24.453125" style="661" customWidth="1"/>
    <col min="9736" max="9736" width="10.6328125" style="661" bestFit="1" customWidth="1"/>
    <col min="9737" max="9985" width="9.08984375" style="661"/>
    <col min="9986" max="9986" width="21.6328125" style="661" customWidth="1"/>
    <col min="9987" max="9987" width="27.90625" style="661" customWidth="1"/>
    <col min="9988" max="9988" width="33.90625" style="661" customWidth="1"/>
    <col min="9989" max="9989" width="60" style="661" customWidth="1"/>
    <col min="9990" max="9990" width="164.08984375" style="661" customWidth="1"/>
    <col min="9991" max="9991" width="24.453125" style="661" customWidth="1"/>
    <col min="9992" max="9992" width="10.6328125" style="661" bestFit="1" customWidth="1"/>
    <col min="9993" max="10241" width="9.08984375" style="661"/>
    <col min="10242" max="10242" width="21.6328125" style="661" customWidth="1"/>
    <col min="10243" max="10243" width="27.90625" style="661" customWidth="1"/>
    <col min="10244" max="10244" width="33.90625" style="661" customWidth="1"/>
    <col min="10245" max="10245" width="60" style="661" customWidth="1"/>
    <col min="10246" max="10246" width="164.08984375" style="661" customWidth="1"/>
    <col min="10247" max="10247" width="24.453125" style="661" customWidth="1"/>
    <col min="10248" max="10248" width="10.6328125" style="661" bestFit="1" customWidth="1"/>
    <col min="10249" max="10497" width="9.08984375" style="661"/>
    <col min="10498" max="10498" width="21.6328125" style="661" customWidth="1"/>
    <col min="10499" max="10499" width="27.90625" style="661" customWidth="1"/>
    <col min="10500" max="10500" width="33.90625" style="661" customWidth="1"/>
    <col min="10501" max="10501" width="60" style="661" customWidth="1"/>
    <col min="10502" max="10502" width="164.08984375" style="661" customWidth="1"/>
    <col min="10503" max="10503" width="24.453125" style="661" customWidth="1"/>
    <col min="10504" max="10504" width="10.6328125" style="661" bestFit="1" customWidth="1"/>
    <col min="10505" max="10753" width="9.08984375" style="661"/>
    <col min="10754" max="10754" width="21.6328125" style="661" customWidth="1"/>
    <col min="10755" max="10755" width="27.90625" style="661" customWidth="1"/>
    <col min="10756" max="10756" width="33.90625" style="661" customWidth="1"/>
    <col min="10757" max="10757" width="60" style="661" customWidth="1"/>
    <col min="10758" max="10758" width="164.08984375" style="661" customWidth="1"/>
    <col min="10759" max="10759" width="24.453125" style="661" customWidth="1"/>
    <col min="10760" max="10760" width="10.6328125" style="661" bestFit="1" customWidth="1"/>
    <col min="10761" max="11009" width="9.08984375" style="661"/>
    <col min="11010" max="11010" width="21.6328125" style="661" customWidth="1"/>
    <col min="11011" max="11011" width="27.90625" style="661" customWidth="1"/>
    <col min="11012" max="11012" width="33.90625" style="661" customWidth="1"/>
    <col min="11013" max="11013" width="60" style="661" customWidth="1"/>
    <col min="11014" max="11014" width="164.08984375" style="661" customWidth="1"/>
    <col min="11015" max="11015" width="24.453125" style="661" customWidth="1"/>
    <col min="11016" max="11016" width="10.6328125" style="661" bestFit="1" customWidth="1"/>
    <col min="11017" max="11265" width="9.08984375" style="661"/>
    <col min="11266" max="11266" width="21.6328125" style="661" customWidth="1"/>
    <col min="11267" max="11267" width="27.90625" style="661" customWidth="1"/>
    <col min="11268" max="11268" width="33.90625" style="661" customWidth="1"/>
    <col min="11269" max="11269" width="60" style="661" customWidth="1"/>
    <col min="11270" max="11270" width="164.08984375" style="661" customWidth="1"/>
    <col min="11271" max="11271" width="24.453125" style="661" customWidth="1"/>
    <col min="11272" max="11272" width="10.6328125" style="661" bestFit="1" customWidth="1"/>
    <col min="11273" max="11521" width="9.08984375" style="661"/>
    <col min="11522" max="11522" width="21.6328125" style="661" customWidth="1"/>
    <col min="11523" max="11523" width="27.90625" style="661" customWidth="1"/>
    <col min="11524" max="11524" width="33.90625" style="661" customWidth="1"/>
    <col min="11525" max="11525" width="60" style="661" customWidth="1"/>
    <col min="11526" max="11526" width="164.08984375" style="661" customWidth="1"/>
    <col min="11527" max="11527" width="24.453125" style="661" customWidth="1"/>
    <col min="11528" max="11528" width="10.6328125" style="661" bestFit="1" customWidth="1"/>
    <col min="11529" max="11777" width="9.08984375" style="661"/>
    <col min="11778" max="11778" width="21.6328125" style="661" customWidth="1"/>
    <col min="11779" max="11779" width="27.90625" style="661" customWidth="1"/>
    <col min="11780" max="11780" width="33.90625" style="661" customWidth="1"/>
    <col min="11781" max="11781" width="60" style="661" customWidth="1"/>
    <col min="11782" max="11782" width="164.08984375" style="661" customWidth="1"/>
    <col min="11783" max="11783" width="24.453125" style="661" customWidth="1"/>
    <col min="11784" max="11784" width="10.6328125" style="661" bestFit="1" customWidth="1"/>
    <col min="11785" max="12033" width="9.08984375" style="661"/>
    <col min="12034" max="12034" width="21.6328125" style="661" customWidth="1"/>
    <col min="12035" max="12035" width="27.90625" style="661" customWidth="1"/>
    <col min="12036" max="12036" width="33.90625" style="661" customWidth="1"/>
    <col min="12037" max="12037" width="60" style="661" customWidth="1"/>
    <col min="12038" max="12038" width="164.08984375" style="661" customWidth="1"/>
    <col min="12039" max="12039" width="24.453125" style="661" customWidth="1"/>
    <col min="12040" max="12040" width="10.6328125" style="661" bestFit="1" customWidth="1"/>
    <col min="12041" max="12289" width="9.08984375" style="661"/>
    <col min="12290" max="12290" width="21.6328125" style="661" customWidth="1"/>
    <col min="12291" max="12291" width="27.90625" style="661" customWidth="1"/>
    <col min="12292" max="12292" width="33.90625" style="661" customWidth="1"/>
    <col min="12293" max="12293" width="60" style="661" customWidth="1"/>
    <col min="12294" max="12294" width="164.08984375" style="661" customWidth="1"/>
    <col min="12295" max="12295" width="24.453125" style="661" customWidth="1"/>
    <col min="12296" max="12296" width="10.6328125" style="661" bestFit="1" customWidth="1"/>
    <col min="12297" max="12545" width="9.08984375" style="661"/>
    <col min="12546" max="12546" width="21.6328125" style="661" customWidth="1"/>
    <col min="12547" max="12547" width="27.90625" style="661" customWidth="1"/>
    <col min="12548" max="12548" width="33.90625" style="661" customWidth="1"/>
    <col min="12549" max="12549" width="60" style="661" customWidth="1"/>
    <col min="12550" max="12550" width="164.08984375" style="661" customWidth="1"/>
    <col min="12551" max="12551" width="24.453125" style="661" customWidth="1"/>
    <col min="12552" max="12552" width="10.6328125" style="661" bestFit="1" customWidth="1"/>
    <col min="12553" max="12801" width="9.08984375" style="661"/>
    <col min="12802" max="12802" width="21.6328125" style="661" customWidth="1"/>
    <col min="12803" max="12803" width="27.90625" style="661" customWidth="1"/>
    <col min="12804" max="12804" width="33.90625" style="661" customWidth="1"/>
    <col min="12805" max="12805" width="60" style="661" customWidth="1"/>
    <col min="12806" max="12806" width="164.08984375" style="661" customWidth="1"/>
    <col min="12807" max="12807" width="24.453125" style="661" customWidth="1"/>
    <col min="12808" max="12808" width="10.6328125" style="661" bestFit="1" customWidth="1"/>
    <col min="12809" max="13057" width="9.08984375" style="661"/>
    <col min="13058" max="13058" width="21.6328125" style="661" customWidth="1"/>
    <col min="13059" max="13059" width="27.90625" style="661" customWidth="1"/>
    <col min="13060" max="13060" width="33.90625" style="661" customWidth="1"/>
    <col min="13061" max="13061" width="60" style="661" customWidth="1"/>
    <col min="13062" max="13062" width="164.08984375" style="661" customWidth="1"/>
    <col min="13063" max="13063" width="24.453125" style="661" customWidth="1"/>
    <col min="13064" max="13064" width="10.6328125" style="661" bestFit="1" customWidth="1"/>
    <col min="13065" max="13313" width="9.08984375" style="661"/>
    <col min="13314" max="13314" width="21.6328125" style="661" customWidth="1"/>
    <col min="13315" max="13315" width="27.90625" style="661" customWidth="1"/>
    <col min="13316" max="13316" width="33.90625" style="661" customWidth="1"/>
    <col min="13317" max="13317" width="60" style="661" customWidth="1"/>
    <col min="13318" max="13318" width="164.08984375" style="661" customWidth="1"/>
    <col min="13319" max="13319" width="24.453125" style="661" customWidth="1"/>
    <col min="13320" max="13320" width="10.6328125" style="661" bestFit="1" customWidth="1"/>
    <col min="13321" max="13569" width="9.08984375" style="661"/>
    <col min="13570" max="13570" width="21.6328125" style="661" customWidth="1"/>
    <col min="13571" max="13571" width="27.90625" style="661" customWidth="1"/>
    <col min="13572" max="13572" width="33.90625" style="661" customWidth="1"/>
    <col min="13573" max="13573" width="60" style="661" customWidth="1"/>
    <col min="13574" max="13574" width="164.08984375" style="661" customWidth="1"/>
    <col min="13575" max="13575" width="24.453125" style="661" customWidth="1"/>
    <col min="13576" max="13576" width="10.6328125" style="661" bestFit="1" customWidth="1"/>
    <col min="13577" max="13825" width="9.08984375" style="661"/>
    <col min="13826" max="13826" width="21.6328125" style="661" customWidth="1"/>
    <col min="13827" max="13827" width="27.90625" style="661" customWidth="1"/>
    <col min="13828" max="13828" width="33.90625" style="661" customWidth="1"/>
    <col min="13829" max="13829" width="60" style="661" customWidth="1"/>
    <col min="13830" max="13830" width="164.08984375" style="661" customWidth="1"/>
    <col min="13831" max="13831" width="24.453125" style="661" customWidth="1"/>
    <col min="13832" max="13832" width="10.6328125" style="661" bestFit="1" customWidth="1"/>
    <col min="13833" max="14081" width="9.08984375" style="661"/>
    <col min="14082" max="14082" width="21.6328125" style="661" customWidth="1"/>
    <col min="14083" max="14083" width="27.90625" style="661" customWidth="1"/>
    <col min="14084" max="14084" width="33.90625" style="661" customWidth="1"/>
    <col min="14085" max="14085" width="60" style="661" customWidth="1"/>
    <col min="14086" max="14086" width="164.08984375" style="661" customWidth="1"/>
    <col min="14087" max="14087" width="24.453125" style="661" customWidth="1"/>
    <col min="14088" max="14088" width="10.6328125" style="661" bestFit="1" customWidth="1"/>
    <col min="14089" max="14337" width="9.08984375" style="661"/>
    <col min="14338" max="14338" width="21.6328125" style="661" customWidth="1"/>
    <col min="14339" max="14339" width="27.90625" style="661" customWidth="1"/>
    <col min="14340" max="14340" width="33.90625" style="661" customWidth="1"/>
    <col min="14341" max="14341" width="60" style="661" customWidth="1"/>
    <col min="14342" max="14342" width="164.08984375" style="661" customWidth="1"/>
    <col min="14343" max="14343" width="24.453125" style="661" customWidth="1"/>
    <col min="14344" max="14344" width="10.6328125" style="661" bestFit="1" customWidth="1"/>
    <col min="14345" max="14593" width="9.08984375" style="661"/>
    <col min="14594" max="14594" width="21.6328125" style="661" customWidth="1"/>
    <col min="14595" max="14595" width="27.90625" style="661" customWidth="1"/>
    <col min="14596" max="14596" width="33.90625" style="661" customWidth="1"/>
    <col min="14597" max="14597" width="60" style="661" customWidth="1"/>
    <col min="14598" max="14598" width="164.08984375" style="661" customWidth="1"/>
    <col min="14599" max="14599" width="24.453125" style="661" customWidth="1"/>
    <col min="14600" max="14600" width="10.6328125" style="661" bestFit="1" customWidth="1"/>
    <col min="14601" max="14849" width="9.08984375" style="661"/>
    <col min="14850" max="14850" width="21.6328125" style="661" customWidth="1"/>
    <col min="14851" max="14851" width="27.90625" style="661" customWidth="1"/>
    <col min="14852" max="14852" width="33.90625" style="661" customWidth="1"/>
    <col min="14853" max="14853" width="60" style="661" customWidth="1"/>
    <col min="14854" max="14854" width="164.08984375" style="661" customWidth="1"/>
    <col min="14855" max="14855" width="24.453125" style="661" customWidth="1"/>
    <col min="14856" max="14856" width="10.6328125" style="661" bestFit="1" customWidth="1"/>
    <col min="14857" max="15105" width="9.08984375" style="661"/>
    <col min="15106" max="15106" width="21.6328125" style="661" customWidth="1"/>
    <col min="15107" max="15107" width="27.90625" style="661" customWidth="1"/>
    <col min="15108" max="15108" width="33.90625" style="661" customWidth="1"/>
    <col min="15109" max="15109" width="60" style="661" customWidth="1"/>
    <col min="15110" max="15110" width="164.08984375" style="661" customWidth="1"/>
    <col min="15111" max="15111" width="24.453125" style="661" customWidth="1"/>
    <col min="15112" max="15112" width="10.6328125" style="661" bestFit="1" customWidth="1"/>
    <col min="15113" max="15361" width="9.08984375" style="661"/>
    <col min="15362" max="15362" width="21.6328125" style="661" customWidth="1"/>
    <col min="15363" max="15363" width="27.90625" style="661" customWidth="1"/>
    <col min="15364" max="15364" width="33.90625" style="661" customWidth="1"/>
    <col min="15365" max="15365" width="60" style="661" customWidth="1"/>
    <col min="15366" max="15366" width="164.08984375" style="661" customWidth="1"/>
    <col min="15367" max="15367" width="24.453125" style="661" customWidth="1"/>
    <col min="15368" max="15368" width="10.6328125" style="661" bestFit="1" customWidth="1"/>
    <col min="15369" max="15617" width="9.08984375" style="661"/>
    <col min="15618" max="15618" width="21.6328125" style="661" customWidth="1"/>
    <col min="15619" max="15619" width="27.90625" style="661" customWidth="1"/>
    <col min="15620" max="15620" width="33.90625" style="661" customWidth="1"/>
    <col min="15621" max="15621" width="60" style="661" customWidth="1"/>
    <col min="15622" max="15622" width="164.08984375" style="661" customWidth="1"/>
    <col min="15623" max="15623" width="24.453125" style="661" customWidth="1"/>
    <col min="15624" max="15624" width="10.6328125" style="661" bestFit="1" customWidth="1"/>
    <col min="15625" max="15873" width="9.08984375" style="661"/>
    <col min="15874" max="15874" width="21.6328125" style="661" customWidth="1"/>
    <col min="15875" max="15875" width="27.90625" style="661" customWidth="1"/>
    <col min="15876" max="15876" width="33.90625" style="661" customWidth="1"/>
    <col min="15877" max="15877" width="60" style="661" customWidth="1"/>
    <col min="15878" max="15878" width="164.08984375" style="661" customWidth="1"/>
    <col min="15879" max="15879" width="24.453125" style="661" customWidth="1"/>
    <col min="15880" max="15880" width="10.6328125" style="661" bestFit="1" customWidth="1"/>
    <col min="15881" max="16129" width="9.08984375" style="661"/>
    <col min="16130" max="16130" width="21.6328125" style="661" customWidth="1"/>
    <col min="16131" max="16131" width="27.90625" style="661" customWidth="1"/>
    <col min="16132" max="16132" width="33.90625" style="661" customWidth="1"/>
    <col min="16133" max="16133" width="60" style="661" customWidth="1"/>
    <col min="16134" max="16134" width="164.08984375" style="661" customWidth="1"/>
    <col min="16135" max="16135" width="24.453125" style="661" customWidth="1"/>
    <col min="16136" max="16136" width="10.6328125" style="661" bestFit="1" customWidth="1"/>
    <col min="16137" max="16384" width="9.08984375" style="661"/>
  </cols>
  <sheetData>
    <row r="1" spans="2:12" x14ac:dyDescent="0.3">
      <c r="C1" s="725"/>
      <c r="D1" s="725"/>
    </row>
    <row r="2" spans="2:12" x14ac:dyDescent="0.3">
      <c r="C2" s="98"/>
      <c r="D2" s="98"/>
      <c r="E2" s="693" t="str">
        <f>Index!B2</f>
        <v xml:space="preserve">      Maharashtra State Power Generation Company Ltd.</v>
      </c>
      <c r="F2" s="98"/>
      <c r="G2" s="98"/>
      <c r="H2" s="98"/>
      <c r="I2" s="98"/>
    </row>
    <row r="3" spans="2:12" x14ac:dyDescent="0.3">
      <c r="C3" s="451"/>
      <c r="D3" s="451"/>
      <c r="E3" s="697" t="s">
        <v>1035</v>
      </c>
      <c r="F3" s="451"/>
      <c r="G3" s="451"/>
      <c r="H3" s="451"/>
      <c r="I3" s="451"/>
    </row>
    <row r="4" spans="2:12" x14ac:dyDescent="0.3">
      <c r="C4" s="451"/>
      <c r="D4" s="451"/>
      <c r="E4" s="697" t="s">
        <v>1036</v>
      </c>
      <c r="F4" s="451"/>
      <c r="G4" s="451"/>
      <c r="H4" s="451"/>
      <c r="I4" s="451"/>
    </row>
    <row r="5" spans="2:12" x14ac:dyDescent="0.3">
      <c r="B5" s="726"/>
      <c r="C5" s="726"/>
      <c r="D5" s="726"/>
    </row>
    <row r="6" spans="2:12" s="728" customFormat="1" ht="42" x14ac:dyDescent="0.25">
      <c r="B6" s="727" t="s">
        <v>37</v>
      </c>
      <c r="C6" s="727" t="s">
        <v>1037</v>
      </c>
      <c r="D6" s="727" t="s">
        <v>1038</v>
      </c>
      <c r="E6" s="727" t="s">
        <v>1039</v>
      </c>
      <c r="F6" s="727" t="s">
        <v>1040</v>
      </c>
    </row>
    <row r="7" spans="2:12" s="728" customFormat="1" x14ac:dyDescent="0.25">
      <c r="B7" s="1694" t="s">
        <v>1041</v>
      </c>
      <c r="C7" s="1695"/>
      <c r="D7" s="1695"/>
      <c r="E7" s="1695"/>
      <c r="F7" s="1696"/>
    </row>
    <row r="8" spans="2:12" s="728" customFormat="1" x14ac:dyDescent="0.25">
      <c r="B8" s="1697"/>
      <c r="C8" s="1698"/>
      <c r="D8" s="1698"/>
      <c r="E8" s="1698"/>
      <c r="F8" s="1699"/>
    </row>
    <row r="9" spans="2:12" s="728" customFormat="1" x14ac:dyDescent="0.25">
      <c r="B9" s="1697"/>
      <c r="C9" s="1698"/>
      <c r="D9" s="1698"/>
      <c r="E9" s="1698"/>
      <c r="F9" s="1699"/>
    </row>
    <row r="10" spans="2:12" s="728" customFormat="1" x14ac:dyDescent="0.25">
      <c r="B10" s="1697"/>
      <c r="C10" s="1698"/>
      <c r="D10" s="1698"/>
      <c r="E10" s="1698"/>
      <c r="F10" s="1699"/>
    </row>
    <row r="11" spans="2:12" s="728" customFormat="1" x14ac:dyDescent="0.25">
      <c r="B11" s="1697"/>
      <c r="C11" s="1698"/>
      <c r="D11" s="1698"/>
      <c r="E11" s="1698"/>
      <c r="F11" s="1699"/>
    </row>
    <row r="12" spans="2:12" s="728" customFormat="1" x14ac:dyDescent="0.25">
      <c r="B12" s="1700"/>
      <c r="C12" s="1701"/>
      <c r="D12" s="1701"/>
      <c r="E12" s="1701"/>
      <c r="F12" s="1702"/>
    </row>
    <row r="13" spans="2:12" s="728" customFormat="1" x14ac:dyDescent="0.3">
      <c r="B13" s="696"/>
      <c r="C13" s="729"/>
      <c r="D13" s="730"/>
      <c r="E13" s="696"/>
      <c r="F13" s="729"/>
      <c r="G13" s="731"/>
      <c r="H13" s="732"/>
      <c r="I13" s="730"/>
      <c r="J13" s="733"/>
      <c r="L13" s="734"/>
    </row>
    <row r="14" spans="2:12" x14ac:dyDescent="0.3">
      <c r="B14" s="661" t="s">
        <v>1042</v>
      </c>
    </row>
    <row r="29" spans="3:3" x14ac:dyDescent="0.3">
      <c r="C29" s="735"/>
    </row>
  </sheetData>
  <mergeCells count="1">
    <mergeCell ref="B7:F1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L29"/>
  <sheetViews>
    <sheetView workbookViewId="0">
      <selection activeCell="A3" sqref="A3:T3"/>
    </sheetView>
  </sheetViews>
  <sheetFormatPr defaultColWidth="9.08984375" defaultRowHeight="14" x14ac:dyDescent="0.3"/>
  <cols>
    <col min="1" max="1" width="9.08984375" style="661"/>
    <col min="2" max="2" width="62.08984375" style="661" customWidth="1"/>
    <col min="3" max="3" width="24.54296875" style="661" customWidth="1"/>
    <col min="4" max="4" width="19.54296875" style="661" customWidth="1"/>
    <col min="5" max="5" width="18.453125" style="661" customWidth="1"/>
    <col min="6" max="6" width="21.6328125" style="661" customWidth="1"/>
    <col min="7" max="7" width="21.36328125" style="661" customWidth="1"/>
    <col min="8" max="258" width="9.08984375" style="661"/>
    <col min="259" max="259" width="110.36328125" style="661" customWidth="1"/>
    <col min="260" max="260" width="43.54296875" style="661" customWidth="1"/>
    <col min="261" max="261" width="35.54296875" style="661" customWidth="1"/>
    <col min="262" max="262" width="36" style="661" customWidth="1"/>
    <col min="263" max="263" width="34.90625" style="661" customWidth="1"/>
    <col min="264" max="514" width="9.08984375" style="661"/>
    <col min="515" max="515" width="110.36328125" style="661" customWidth="1"/>
    <col min="516" max="516" width="43.54296875" style="661" customWidth="1"/>
    <col min="517" max="517" width="35.54296875" style="661" customWidth="1"/>
    <col min="518" max="518" width="36" style="661" customWidth="1"/>
    <col min="519" max="519" width="34.90625" style="661" customWidth="1"/>
    <col min="520" max="770" width="9.08984375" style="661"/>
    <col min="771" max="771" width="110.36328125" style="661" customWidth="1"/>
    <col min="772" max="772" width="43.54296875" style="661" customWidth="1"/>
    <col min="773" max="773" width="35.54296875" style="661" customWidth="1"/>
    <col min="774" max="774" width="36" style="661" customWidth="1"/>
    <col min="775" max="775" width="34.90625" style="661" customWidth="1"/>
    <col min="776" max="1026" width="9.08984375" style="661"/>
    <col min="1027" max="1027" width="110.36328125" style="661" customWidth="1"/>
    <col min="1028" max="1028" width="43.54296875" style="661" customWidth="1"/>
    <col min="1029" max="1029" width="35.54296875" style="661" customWidth="1"/>
    <col min="1030" max="1030" width="36" style="661" customWidth="1"/>
    <col min="1031" max="1031" width="34.90625" style="661" customWidth="1"/>
    <col min="1032" max="1282" width="9.08984375" style="661"/>
    <col min="1283" max="1283" width="110.36328125" style="661" customWidth="1"/>
    <col min="1284" max="1284" width="43.54296875" style="661" customWidth="1"/>
    <col min="1285" max="1285" width="35.54296875" style="661" customWidth="1"/>
    <col min="1286" max="1286" width="36" style="661" customWidth="1"/>
    <col min="1287" max="1287" width="34.90625" style="661" customWidth="1"/>
    <col min="1288" max="1538" width="9.08984375" style="661"/>
    <col min="1539" max="1539" width="110.36328125" style="661" customWidth="1"/>
    <col min="1540" max="1540" width="43.54296875" style="661" customWidth="1"/>
    <col min="1541" max="1541" width="35.54296875" style="661" customWidth="1"/>
    <col min="1542" max="1542" width="36" style="661" customWidth="1"/>
    <col min="1543" max="1543" width="34.90625" style="661" customWidth="1"/>
    <col min="1544" max="1794" width="9.08984375" style="661"/>
    <col min="1795" max="1795" width="110.36328125" style="661" customWidth="1"/>
    <col min="1796" max="1796" width="43.54296875" style="661" customWidth="1"/>
    <col min="1797" max="1797" width="35.54296875" style="661" customWidth="1"/>
    <col min="1798" max="1798" width="36" style="661" customWidth="1"/>
    <col min="1799" max="1799" width="34.90625" style="661" customWidth="1"/>
    <col min="1800" max="2050" width="9.08984375" style="661"/>
    <col min="2051" max="2051" width="110.36328125" style="661" customWidth="1"/>
    <col min="2052" max="2052" width="43.54296875" style="661" customWidth="1"/>
    <col min="2053" max="2053" width="35.54296875" style="661" customWidth="1"/>
    <col min="2054" max="2054" width="36" style="661" customWidth="1"/>
    <col min="2055" max="2055" width="34.90625" style="661" customWidth="1"/>
    <col min="2056" max="2306" width="9.08984375" style="661"/>
    <col min="2307" max="2307" width="110.36328125" style="661" customWidth="1"/>
    <col min="2308" max="2308" width="43.54296875" style="661" customWidth="1"/>
    <col min="2309" max="2309" width="35.54296875" style="661" customWidth="1"/>
    <col min="2310" max="2310" width="36" style="661" customWidth="1"/>
    <col min="2311" max="2311" width="34.90625" style="661" customWidth="1"/>
    <col min="2312" max="2562" width="9.08984375" style="661"/>
    <col min="2563" max="2563" width="110.36328125" style="661" customWidth="1"/>
    <col min="2564" max="2564" width="43.54296875" style="661" customWidth="1"/>
    <col min="2565" max="2565" width="35.54296875" style="661" customWidth="1"/>
    <col min="2566" max="2566" width="36" style="661" customWidth="1"/>
    <col min="2567" max="2567" width="34.90625" style="661" customWidth="1"/>
    <col min="2568" max="2818" width="9.08984375" style="661"/>
    <col min="2819" max="2819" width="110.36328125" style="661" customWidth="1"/>
    <col min="2820" max="2820" width="43.54296875" style="661" customWidth="1"/>
    <col min="2821" max="2821" width="35.54296875" style="661" customWidth="1"/>
    <col min="2822" max="2822" width="36" style="661" customWidth="1"/>
    <col min="2823" max="2823" width="34.90625" style="661" customWidth="1"/>
    <col min="2824" max="3074" width="9.08984375" style="661"/>
    <col min="3075" max="3075" width="110.36328125" style="661" customWidth="1"/>
    <col min="3076" max="3076" width="43.54296875" style="661" customWidth="1"/>
    <col min="3077" max="3077" width="35.54296875" style="661" customWidth="1"/>
    <col min="3078" max="3078" width="36" style="661" customWidth="1"/>
    <col min="3079" max="3079" width="34.90625" style="661" customWidth="1"/>
    <col min="3080" max="3330" width="9.08984375" style="661"/>
    <col min="3331" max="3331" width="110.36328125" style="661" customWidth="1"/>
    <col min="3332" max="3332" width="43.54296875" style="661" customWidth="1"/>
    <col min="3333" max="3333" width="35.54296875" style="661" customWidth="1"/>
    <col min="3334" max="3334" width="36" style="661" customWidth="1"/>
    <col min="3335" max="3335" width="34.90625" style="661" customWidth="1"/>
    <col min="3336" max="3586" width="9.08984375" style="661"/>
    <col min="3587" max="3587" width="110.36328125" style="661" customWidth="1"/>
    <col min="3588" max="3588" width="43.54296875" style="661" customWidth="1"/>
    <col min="3589" max="3589" width="35.54296875" style="661" customWidth="1"/>
    <col min="3590" max="3590" width="36" style="661" customWidth="1"/>
    <col min="3591" max="3591" width="34.90625" style="661" customWidth="1"/>
    <col min="3592" max="3842" width="9.08984375" style="661"/>
    <col min="3843" max="3843" width="110.36328125" style="661" customWidth="1"/>
    <col min="3844" max="3844" width="43.54296875" style="661" customWidth="1"/>
    <col min="3845" max="3845" width="35.54296875" style="661" customWidth="1"/>
    <col min="3846" max="3846" width="36" style="661" customWidth="1"/>
    <col min="3847" max="3847" width="34.90625" style="661" customWidth="1"/>
    <col min="3848" max="4098" width="9.08984375" style="661"/>
    <col min="4099" max="4099" width="110.36328125" style="661" customWidth="1"/>
    <col min="4100" max="4100" width="43.54296875" style="661" customWidth="1"/>
    <col min="4101" max="4101" width="35.54296875" style="661" customWidth="1"/>
    <col min="4102" max="4102" width="36" style="661" customWidth="1"/>
    <col min="4103" max="4103" width="34.90625" style="661" customWidth="1"/>
    <col min="4104" max="4354" width="9.08984375" style="661"/>
    <col min="4355" max="4355" width="110.36328125" style="661" customWidth="1"/>
    <col min="4356" max="4356" width="43.54296875" style="661" customWidth="1"/>
    <col min="4357" max="4357" width="35.54296875" style="661" customWidth="1"/>
    <col min="4358" max="4358" width="36" style="661" customWidth="1"/>
    <col min="4359" max="4359" width="34.90625" style="661" customWidth="1"/>
    <col min="4360" max="4610" width="9.08984375" style="661"/>
    <col min="4611" max="4611" width="110.36328125" style="661" customWidth="1"/>
    <col min="4612" max="4612" width="43.54296875" style="661" customWidth="1"/>
    <col min="4613" max="4613" width="35.54296875" style="661" customWidth="1"/>
    <col min="4614" max="4614" width="36" style="661" customWidth="1"/>
    <col min="4615" max="4615" width="34.90625" style="661" customWidth="1"/>
    <col min="4616" max="4866" width="9.08984375" style="661"/>
    <col min="4867" max="4867" width="110.36328125" style="661" customWidth="1"/>
    <col min="4868" max="4868" width="43.54296875" style="661" customWidth="1"/>
    <col min="4869" max="4869" width="35.54296875" style="661" customWidth="1"/>
    <col min="4870" max="4870" width="36" style="661" customWidth="1"/>
    <col min="4871" max="4871" width="34.90625" style="661" customWidth="1"/>
    <col min="4872" max="5122" width="9.08984375" style="661"/>
    <col min="5123" max="5123" width="110.36328125" style="661" customWidth="1"/>
    <col min="5124" max="5124" width="43.54296875" style="661" customWidth="1"/>
    <col min="5125" max="5125" width="35.54296875" style="661" customWidth="1"/>
    <col min="5126" max="5126" width="36" style="661" customWidth="1"/>
    <col min="5127" max="5127" width="34.90625" style="661" customWidth="1"/>
    <col min="5128" max="5378" width="9.08984375" style="661"/>
    <col min="5379" max="5379" width="110.36328125" style="661" customWidth="1"/>
    <col min="5380" max="5380" width="43.54296875" style="661" customWidth="1"/>
    <col min="5381" max="5381" width="35.54296875" style="661" customWidth="1"/>
    <col min="5382" max="5382" width="36" style="661" customWidth="1"/>
    <col min="5383" max="5383" width="34.90625" style="661" customWidth="1"/>
    <col min="5384" max="5634" width="9.08984375" style="661"/>
    <col min="5635" max="5635" width="110.36328125" style="661" customWidth="1"/>
    <col min="5636" max="5636" width="43.54296875" style="661" customWidth="1"/>
    <col min="5637" max="5637" width="35.54296875" style="661" customWidth="1"/>
    <col min="5638" max="5638" width="36" style="661" customWidth="1"/>
    <col min="5639" max="5639" width="34.90625" style="661" customWidth="1"/>
    <col min="5640" max="5890" width="9.08984375" style="661"/>
    <col min="5891" max="5891" width="110.36328125" style="661" customWidth="1"/>
    <col min="5892" max="5892" width="43.54296875" style="661" customWidth="1"/>
    <col min="5893" max="5893" width="35.54296875" style="661" customWidth="1"/>
    <col min="5894" max="5894" width="36" style="661" customWidth="1"/>
    <col min="5895" max="5895" width="34.90625" style="661" customWidth="1"/>
    <col min="5896" max="6146" width="9.08984375" style="661"/>
    <col min="6147" max="6147" width="110.36328125" style="661" customWidth="1"/>
    <col min="6148" max="6148" width="43.54296875" style="661" customWidth="1"/>
    <col min="6149" max="6149" width="35.54296875" style="661" customWidth="1"/>
    <col min="6150" max="6150" width="36" style="661" customWidth="1"/>
    <col min="6151" max="6151" width="34.90625" style="661" customWidth="1"/>
    <col min="6152" max="6402" width="9.08984375" style="661"/>
    <col min="6403" max="6403" width="110.36328125" style="661" customWidth="1"/>
    <col min="6404" max="6404" width="43.54296875" style="661" customWidth="1"/>
    <col min="6405" max="6405" width="35.54296875" style="661" customWidth="1"/>
    <col min="6406" max="6406" width="36" style="661" customWidth="1"/>
    <col min="6407" max="6407" width="34.90625" style="661" customWidth="1"/>
    <col min="6408" max="6658" width="9.08984375" style="661"/>
    <col min="6659" max="6659" width="110.36328125" style="661" customWidth="1"/>
    <col min="6660" max="6660" width="43.54296875" style="661" customWidth="1"/>
    <col min="6661" max="6661" width="35.54296875" style="661" customWidth="1"/>
    <col min="6662" max="6662" width="36" style="661" customWidth="1"/>
    <col min="6663" max="6663" width="34.90625" style="661" customWidth="1"/>
    <col min="6664" max="6914" width="9.08984375" style="661"/>
    <col min="6915" max="6915" width="110.36328125" style="661" customWidth="1"/>
    <col min="6916" max="6916" width="43.54296875" style="661" customWidth="1"/>
    <col min="6917" max="6917" width="35.54296875" style="661" customWidth="1"/>
    <col min="6918" max="6918" width="36" style="661" customWidth="1"/>
    <col min="6919" max="6919" width="34.90625" style="661" customWidth="1"/>
    <col min="6920" max="7170" width="9.08984375" style="661"/>
    <col min="7171" max="7171" width="110.36328125" style="661" customWidth="1"/>
    <col min="7172" max="7172" width="43.54296875" style="661" customWidth="1"/>
    <col min="7173" max="7173" width="35.54296875" style="661" customWidth="1"/>
    <col min="7174" max="7174" width="36" style="661" customWidth="1"/>
    <col min="7175" max="7175" width="34.90625" style="661" customWidth="1"/>
    <col min="7176" max="7426" width="9.08984375" style="661"/>
    <col min="7427" max="7427" width="110.36328125" style="661" customWidth="1"/>
    <col min="7428" max="7428" width="43.54296875" style="661" customWidth="1"/>
    <col min="7429" max="7429" width="35.54296875" style="661" customWidth="1"/>
    <col min="7430" max="7430" width="36" style="661" customWidth="1"/>
    <col min="7431" max="7431" width="34.90625" style="661" customWidth="1"/>
    <col min="7432" max="7682" width="9.08984375" style="661"/>
    <col min="7683" max="7683" width="110.36328125" style="661" customWidth="1"/>
    <col min="7684" max="7684" width="43.54296875" style="661" customWidth="1"/>
    <col min="7685" max="7685" width="35.54296875" style="661" customWidth="1"/>
    <col min="7686" max="7686" width="36" style="661" customWidth="1"/>
    <col min="7687" max="7687" width="34.90625" style="661" customWidth="1"/>
    <col min="7688" max="7938" width="9.08984375" style="661"/>
    <col min="7939" max="7939" width="110.36328125" style="661" customWidth="1"/>
    <col min="7940" max="7940" width="43.54296875" style="661" customWidth="1"/>
    <col min="7941" max="7941" width="35.54296875" style="661" customWidth="1"/>
    <col min="7942" max="7942" width="36" style="661" customWidth="1"/>
    <col min="7943" max="7943" width="34.90625" style="661" customWidth="1"/>
    <col min="7944" max="8194" width="9.08984375" style="661"/>
    <col min="8195" max="8195" width="110.36328125" style="661" customWidth="1"/>
    <col min="8196" max="8196" width="43.54296875" style="661" customWidth="1"/>
    <col min="8197" max="8197" width="35.54296875" style="661" customWidth="1"/>
    <col min="8198" max="8198" width="36" style="661" customWidth="1"/>
    <col min="8199" max="8199" width="34.90625" style="661" customWidth="1"/>
    <col min="8200" max="8450" width="9.08984375" style="661"/>
    <col min="8451" max="8451" width="110.36328125" style="661" customWidth="1"/>
    <col min="8452" max="8452" width="43.54296875" style="661" customWidth="1"/>
    <col min="8453" max="8453" width="35.54296875" style="661" customWidth="1"/>
    <col min="8454" max="8454" width="36" style="661" customWidth="1"/>
    <col min="8455" max="8455" width="34.90625" style="661" customWidth="1"/>
    <col min="8456" max="8706" width="9.08984375" style="661"/>
    <col min="8707" max="8707" width="110.36328125" style="661" customWidth="1"/>
    <col min="8708" max="8708" width="43.54296875" style="661" customWidth="1"/>
    <col min="8709" max="8709" width="35.54296875" style="661" customWidth="1"/>
    <col min="8710" max="8710" width="36" style="661" customWidth="1"/>
    <col min="8711" max="8711" width="34.90625" style="661" customWidth="1"/>
    <col min="8712" max="8962" width="9.08984375" style="661"/>
    <col min="8963" max="8963" width="110.36328125" style="661" customWidth="1"/>
    <col min="8964" max="8964" width="43.54296875" style="661" customWidth="1"/>
    <col min="8965" max="8965" width="35.54296875" style="661" customWidth="1"/>
    <col min="8966" max="8966" width="36" style="661" customWidth="1"/>
    <col min="8967" max="8967" width="34.90625" style="661" customWidth="1"/>
    <col min="8968" max="9218" width="9.08984375" style="661"/>
    <col min="9219" max="9219" width="110.36328125" style="661" customWidth="1"/>
    <col min="9220" max="9220" width="43.54296875" style="661" customWidth="1"/>
    <col min="9221" max="9221" width="35.54296875" style="661" customWidth="1"/>
    <col min="9222" max="9222" width="36" style="661" customWidth="1"/>
    <col min="9223" max="9223" width="34.90625" style="661" customWidth="1"/>
    <col min="9224" max="9474" width="9.08984375" style="661"/>
    <col min="9475" max="9475" width="110.36328125" style="661" customWidth="1"/>
    <col min="9476" max="9476" width="43.54296875" style="661" customWidth="1"/>
    <col min="9477" max="9477" width="35.54296875" style="661" customWidth="1"/>
    <col min="9478" max="9478" width="36" style="661" customWidth="1"/>
    <col min="9479" max="9479" width="34.90625" style="661" customWidth="1"/>
    <col min="9480" max="9730" width="9.08984375" style="661"/>
    <col min="9731" max="9731" width="110.36328125" style="661" customWidth="1"/>
    <col min="9732" max="9732" width="43.54296875" style="661" customWidth="1"/>
    <col min="9733" max="9733" width="35.54296875" style="661" customWidth="1"/>
    <col min="9734" max="9734" width="36" style="661" customWidth="1"/>
    <col min="9735" max="9735" width="34.90625" style="661" customWidth="1"/>
    <col min="9736" max="9986" width="9.08984375" style="661"/>
    <col min="9987" max="9987" width="110.36328125" style="661" customWidth="1"/>
    <col min="9988" max="9988" width="43.54296875" style="661" customWidth="1"/>
    <col min="9989" max="9989" width="35.54296875" style="661" customWidth="1"/>
    <col min="9990" max="9990" width="36" style="661" customWidth="1"/>
    <col min="9991" max="9991" width="34.90625" style="661" customWidth="1"/>
    <col min="9992" max="10242" width="9.08984375" style="661"/>
    <col min="10243" max="10243" width="110.36328125" style="661" customWidth="1"/>
    <col min="10244" max="10244" width="43.54296875" style="661" customWidth="1"/>
    <col min="10245" max="10245" width="35.54296875" style="661" customWidth="1"/>
    <col min="10246" max="10246" width="36" style="661" customWidth="1"/>
    <col min="10247" max="10247" width="34.90625" style="661" customWidth="1"/>
    <col min="10248" max="10498" width="9.08984375" style="661"/>
    <col min="10499" max="10499" width="110.36328125" style="661" customWidth="1"/>
    <col min="10500" max="10500" width="43.54296875" style="661" customWidth="1"/>
    <col min="10501" max="10501" width="35.54296875" style="661" customWidth="1"/>
    <col min="10502" max="10502" width="36" style="661" customWidth="1"/>
    <col min="10503" max="10503" width="34.90625" style="661" customWidth="1"/>
    <col min="10504" max="10754" width="9.08984375" style="661"/>
    <col min="10755" max="10755" width="110.36328125" style="661" customWidth="1"/>
    <col min="10756" max="10756" width="43.54296875" style="661" customWidth="1"/>
    <col min="10757" max="10757" width="35.54296875" style="661" customWidth="1"/>
    <col min="10758" max="10758" width="36" style="661" customWidth="1"/>
    <col min="10759" max="10759" width="34.90625" style="661" customWidth="1"/>
    <col min="10760" max="11010" width="9.08984375" style="661"/>
    <col min="11011" max="11011" width="110.36328125" style="661" customWidth="1"/>
    <col min="11012" max="11012" width="43.54296875" style="661" customWidth="1"/>
    <col min="11013" max="11013" width="35.54296875" style="661" customWidth="1"/>
    <col min="11014" max="11014" width="36" style="661" customWidth="1"/>
    <col min="11015" max="11015" width="34.90625" style="661" customWidth="1"/>
    <col min="11016" max="11266" width="9.08984375" style="661"/>
    <col min="11267" max="11267" width="110.36328125" style="661" customWidth="1"/>
    <col min="11268" max="11268" width="43.54296875" style="661" customWidth="1"/>
    <col min="11269" max="11269" width="35.54296875" style="661" customWidth="1"/>
    <col min="11270" max="11270" width="36" style="661" customWidth="1"/>
    <col min="11271" max="11271" width="34.90625" style="661" customWidth="1"/>
    <col min="11272" max="11522" width="9.08984375" style="661"/>
    <col min="11523" max="11523" width="110.36328125" style="661" customWidth="1"/>
    <col min="11524" max="11524" width="43.54296875" style="661" customWidth="1"/>
    <col min="11525" max="11525" width="35.54296875" style="661" customWidth="1"/>
    <col min="11526" max="11526" width="36" style="661" customWidth="1"/>
    <col min="11527" max="11527" width="34.90625" style="661" customWidth="1"/>
    <col min="11528" max="11778" width="9.08984375" style="661"/>
    <col min="11779" max="11779" width="110.36328125" style="661" customWidth="1"/>
    <col min="11780" max="11780" width="43.54296875" style="661" customWidth="1"/>
    <col min="11781" max="11781" width="35.54296875" style="661" customWidth="1"/>
    <col min="11782" max="11782" width="36" style="661" customWidth="1"/>
    <col min="11783" max="11783" width="34.90625" style="661" customWidth="1"/>
    <col min="11784" max="12034" width="9.08984375" style="661"/>
    <col min="12035" max="12035" width="110.36328125" style="661" customWidth="1"/>
    <col min="12036" max="12036" width="43.54296875" style="661" customWidth="1"/>
    <col min="12037" max="12037" width="35.54296875" style="661" customWidth="1"/>
    <col min="12038" max="12038" width="36" style="661" customWidth="1"/>
    <col min="12039" max="12039" width="34.90625" style="661" customWidth="1"/>
    <col min="12040" max="12290" width="9.08984375" style="661"/>
    <col min="12291" max="12291" width="110.36328125" style="661" customWidth="1"/>
    <col min="12292" max="12292" width="43.54296875" style="661" customWidth="1"/>
    <col min="12293" max="12293" width="35.54296875" style="661" customWidth="1"/>
    <col min="12294" max="12294" width="36" style="661" customWidth="1"/>
    <col min="12295" max="12295" width="34.90625" style="661" customWidth="1"/>
    <col min="12296" max="12546" width="9.08984375" style="661"/>
    <col min="12547" max="12547" width="110.36328125" style="661" customWidth="1"/>
    <col min="12548" max="12548" width="43.54296875" style="661" customWidth="1"/>
    <col min="12549" max="12549" width="35.54296875" style="661" customWidth="1"/>
    <col min="12550" max="12550" width="36" style="661" customWidth="1"/>
    <col min="12551" max="12551" width="34.90625" style="661" customWidth="1"/>
    <col min="12552" max="12802" width="9.08984375" style="661"/>
    <col min="12803" max="12803" width="110.36328125" style="661" customWidth="1"/>
    <col min="12804" max="12804" width="43.54296875" style="661" customWidth="1"/>
    <col min="12805" max="12805" width="35.54296875" style="661" customWidth="1"/>
    <col min="12806" max="12806" width="36" style="661" customWidth="1"/>
    <col min="12807" max="12807" width="34.90625" style="661" customWidth="1"/>
    <col min="12808" max="13058" width="9.08984375" style="661"/>
    <col min="13059" max="13059" width="110.36328125" style="661" customWidth="1"/>
    <col min="13060" max="13060" width="43.54296875" style="661" customWidth="1"/>
    <col min="13061" max="13061" width="35.54296875" style="661" customWidth="1"/>
    <col min="13062" max="13062" width="36" style="661" customWidth="1"/>
    <col min="13063" max="13063" width="34.90625" style="661" customWidth="1"/>
    <col min="13064" max="13314" width="9.08984375" style="661"/>
    <col min="13315" max="13315" width="110.36328125" style="661" customWidth="1"/>
    <col min="13316" max="13316" width="43.54296875" style="661" customWidth="1"/>
    <col min="13317" max="13317" width="35.54296875" style="661" customWidth="1"/>
    <col min="13318" max="13318" width="36" style="661" customWidth="1"/>
    <col min="13319" max="13319" width="34.90625" style="661" customWidth="1"/>
    <col min="13320" max="13570" width="9.08984375" style="661"/>
    <col min="13571" max="13571" width="110.36328125" style="661" customWidth="1"/>
    <col min="13572" max="13572" width="43.54296875" style="661" customWidth="1"/>
    <col min="13573" max="13573" width="35.54296875" style="661" customWidth="1"/>
    <col min="13574" max="13574" width="36" style="661" customWidth="1"/>
    <col min="13575" max="13575" width="34.90625" style="661" customWidth="1"/>
    <col min="13576" max="13826" width="9.08984375" style="661"/>
    <col min="13827" max="13827" width="110.36328125" style="661" customWidth="1"/>
    <col min="13828" max="13828" width="43.54296875" style="661" customWidth="1"/>
    <col min="13829" max="13829" width="35.54296875" style="661" customWidth="1"/>
    <col min="13830" max="13830" width="36" style="661" customWidth="1"/>
    <col min="13831" max="13831" width="34.90625" style="661" customWidth="1"/>
    <col min="13832" max="14082" width="9.08984375" style="661"/>
    <col min="14083" max="14083" width="110.36328125" style="661" customWidth="1"/>
    <col min="14084" max="14084" width="43.54296875" style="661" customWidth="1"/>
    <col min="14085" max="14085" width="35.54296875" style="661" customWidth="1"/>
    <col min="14086" max="14086" width="36" style="661" customWidth="1"/>
    <col min="14087" max="14087" width="34.90625" style="661" customWidth="1"/>
    <col min="14088" max="14338" width="9.08984375" style="661"/>
    <col min="14339" max="14339" width="110.36328125" style="661" customWidth="1"/>
    <col min="14340" max="14340" width="43.54296875" style="661" customWidth="1"/>
    <col min="14341" max="14341" width="35.54296875" style="661" customWidth="1"/>
    <col min="14342" max="14342" width="36" style="661" customWidth="1"/>
    <col min="14343" max="14343" width="34.90625" style="661" customWidth="1"/>
    <col min="14344" max="14594" width="9.08984375" style="661"/>
    <col min="14595" max="14595" width="110.36328125" style="661" customWidth="1"/>
    <col min="14596" max="14596" width="43.54296875" style="661" customWidth="1"/>
    <col min="14597" max="14597" width="35.54296875" style="661" customWidth="1"/>
    <col min="14598" max="14598" width="36" style="661" customWidth="1"/>
    <col min="14599" max="14599" width="34.90625" style="661" customWidth="1"/>
    <col min="14600" max="14850" width="9.08984375" style="661"/>
    <col min="14851" max="14851" width="110.36328125" style="661" customWidth="1"/>
    <col min="14852" max="14852" width="43.54296875" style="661" customWidth="1"/>
    <col min="14853" max="14853" width="35.54296875" style="661" customWidth="1"/>
    <col min="14854" max="14854" width="36" style="661" customWidth="1"/>
    <col min="14855" max="14855" width="34.90625" style="661" customWidth="1"/>
    <col min="14856" max="15106" width="9.08984375" style="661"/>
    <col min="15107" max="15107" width="110.36328125" style="661" customWidth="1"/>
    <col min="15108" max="15108" width="43.54296875" style="661" customWidth="1"/>
    <col min="15109" max="15109" width="35.54296875" style="661" customWidth="1"/>
    <col min="15110" max="15110" width="36" style="661" customWidth="1"/>
    <col min="15111" max="15111" width="34.90625" style="661" customWidth="1"/>
    <col min="15112" max="15362" width="9.08984375" style="661"/>
    <col min="15363" max="15363" width="110.36328125" style="661" customWidth="1"/>
    <col min="15364" max="15364" width="43.54296875" style="661" customWidth="1"/>
    <col min="15365" max="15365" width="35.54296875" style="661" customWidth="1"/>
    <col min="15366" max="15366" width="36" style="661" customWidth="1"/>
    <col min="15367" max="15367" width="34.90625" style="661" customWidth="1"/>
    <col min="15368" max="15618" width="9.08984375" style="661"/>
    <col min="15619" max="15619" width="110.36328125" style="661" customWidth="1"/>
    <col min="15620" max="15620" width="43.54296875" style="661" customWidth="1"/>
    <col min="15621" max="15621" width="35.54296875" style="661" customWidth="1"/>
    <col min="15622" max="15622" width="36" style="661" customWidth="1"/>
    <col min="15623" max="15623" width="34.90625" style="661" customWidth="1"/>
    <col min="15624" max="15874" width="9.08984375" style="661"/>
    <col min="15875" max="15875" width="110.36328125" style="661" customWidth="1"/>
    <col min="15876" max="15876" width="43.54296875" style="661" customWidth="1"/>
    <col min="15877" max="15877" width="35.54296875" style="661" customWidth="1"/>
    <col min="15878" max="15878" width="36" style="661" customWidth="1"/>
    <col min="15879" max="15879" width="34.90625" style="661" customWidth="1"/>
    <col min="15880" max="16130" width="9.08984375" style="661"/>
    <col min="16131" max="16131" width="110.36328125" style="661" customWidth="1"/>
    <col min="16132" max="16132" width="43.54296875" style="661" customWidth="1"/>
    <col min="16133" max="16133" width="35.54296875" style="661" customWidth="1"/>
    <col min="16134" max="16134" width="36" style="661" customWidth="1"/>
    <col min="16135" max="16135" width="34.90625" style="661" customWidth="1"/>
    <col min="16136" max="16384" width="9.08984375" style="661"/>
  </cols>
  <sheetData>
    <row r="2" spans="2:12" x14ac:dyDescent="0.3">
      <c r="B2" s="22"/>
      <c r="C2" s="693" t="str">
        <f>Index!B2</f>
        <v xml:space="preserve">      Maharashtra State Power Generation Company Ltd.</v>
      </c>
      <c r="D2" s="22"/>
      <c r="E2" s="22"/>
      <c r="F2" s="22"/>
      <c r="G2" s="22"/>
      <c r="L2" s="661" t="str">
        <f>Index!B2</f>
        <v xml:space="preserve">      Maharashtra State Power Generation Company Ltd.</v>
      </c>
    </row>
    <row r="3" spans="2:12" x14ac:dyDescent="0.3">
      <c r="B3" s="762"/>
      <c r="C3" s="697" t="s">
        <v>1035</v>
      </c>
      <c r="D3" s="762"/>
      <c r="E3" s="762"/>
      <c r="F3" s="762"/>
      <c r="G3" s="762"/>
    </row>
    <row r="4" spans="2:12" x14ac:dyDescent="0.3">
      <c r="B4" s="762"/>
      <c r="C4" s="697" t="s">
        <v>1359</v>
      </c>
      <c r="D4" s="762"/>
      <c r="E4" s="762"/>
      <c r="F4" s="762"/>
      <c r="G4" s="762"/>
    </row>
    <row r="5" spans="2:12" x14ac:dyDescent="0.3">
      <c r="B5" s="22"/>
      <c r="C5" s="697"/>
      <c r="D5" s="22"/>
      <c r="E5" s="22"/>
      <c r="F5" s="22"/>
      <c r="G5" s="21" t="s">
        <v>10</v>
      </c>
    </row>
    <row r="6" spans="2:12" s="857" customFormat="1" ht="61.5" customHeight="1" x14ac:dyDescent="0.25">
      <c r="B6" s="854" t="s">
        <v>37</v>
      </c>
      <c r="C6" s="855" t="s">
        <v>1360</v>
      </c>
      <c r="D6" s="855" t="s">
        <v>1361</v>
      </c>
      <c r="E6" s="855" t="s">
        <v>1362</v>
      </c>
      <c r="F6" s="856" t="s">
        <v>1069</v>
      </c>
      <c r="G6" s="855" t="s">
        <v>1363</v>
      </c>
    </row>
    <row r="7" spans="2:12" x14ac:dyDescent="0.3">
      <c r="B7" s="858" t="s">
        <v>1364</v>
      </c>
      <c r="C7" s="1703" t="s">
        <v>1041</v>
      </c>
      <c r="D7" s="1704"/>
      <c r="E7" s="1704"/>
      <c r="F7" s="1704"/>
      <c r="G7" s="1705"/>
    </row>
    <row r="8" spans="2:12" x14ac:dyDescent="0.3">
      <c r="B8" s="859" t="s">
        <v>1067</v>
      </c>
      <c r="C8" s="1706"/>
      <c r="D8" s="1707"/>
      <c r="E8" s="1707"/>
      <c r="F8" s="1707"/>
      <c r="G8" s="1708"/>
    </row>
    <row r="9" spans="2:12" x14ac:dyDescent="0.3">
      <c r="B9" s="859" t="s">
        <v>1068</v>
      </c>
      <c r="C9" s="1706"/>
      <c r="D9" s="1707"/>
      <c r="E9" s="1707"/>
      <c r="F9" s="1707"/>
      <c r="G9" s="1708"/>
    </row>
    <row r="10" spans="2:12" x14ac:dyDescent="0.3">
      <c r="B10" s="859" t="s">
        <v>1069</v>
      </c>
      <c r="C10" s="1706"/>
      <c r="D10" s="1707"/>
      <c r="E10" s="1707"/>
      <c r="F10" s="1707"/>
      <c r="G10" s="1708"/>
    </row>
    <row r="11" spans="2:12" x14ac:dyDescent="0.3">
      <c r="B11" s="858" t="s">
        <v>1365</v>
      </c>
      <c r="C11" s="1706"/>
      <c r="D11" s="1707"/>
      <c r="E11" s="1707"/>
      <c r="F11" s="1707"/>
      <c r="G11" s="1708"/>
    </row>
    <row r="12" spans="2:12" x14ac:dyDescent="0.3">
      <c r="B12" s="859"/>
      <c r="C12" s="1706"/>
      <c r="D12" s="1707"/>
      <c r="E12" s="1707"/>
      <c r="F12" s="1707"/>
      <c r="G12" s="1708"/>
    </row>
    <row r="13" spans="2:12" x14ac:dyDescent="0.3">
      <c r="B13" s="858" t="s">
        <v>1366</v>
      </c>
      <c r="C13" s="1706"/>
      <c r="D13" s="1707"/>
      <c r="E13" s="1707"/>
      <c r="F13" s="1707"/>
      <c r="G13" s="1708"/>
    </row>
    <row r="14" spans="2:12" x14ac:dyDescent="0.3">
      <c r="B14" s="859" t="s">
        <v>1067</v>
      </c>
      <c r="C14" s="1706"/>
      <c r="D14" s="1707"/>
      <c r="E14" s="1707"/>
      <c r="F14" s="1707"/>
      <c r="G14" s="1708"/>
    </row>
    <row r="15" spans="2:12" x14ac:dyDescent="0.3">
      <c r="B15" s="859" t="s">
        <v>1068</v>
      </c>
      <c r="C15" s="1706"/>
      <c r="D15" s="1707"/>
      <c r="E15" s="1707"/>
      <c r="F15" s="1707"/>
      <c r="G15" s="1708"/>
    </row>
    <row r="16" spans="2:12" x14ac:dyDescent="0.3">
      <c r="B16" s="859" t="s">
        <v>1069</v>
      </c>
      <c r="C16" s="1706"/>
      <c r="D16" s="1707"/>
      <c r="E16" s="1707"/>
      <c r="F16" s="1707"/>
      <c r="G16" s="1708"/>
    </row>
    <row r="17" spans="2:7" x14ac:dyDescent="0.3">
      <c r="B17" s="858" t="s">
        <v>1367</v>
      </c>
      <c r="C17" s="1706"/>
      <c r="D17" s="1707"/>
      <c r="E17" s="1707"/>
      <c r="F17" s="1707"/>
      <c r="G17" s="1708"/>
    </row>
    <row r="18" spans="2:7" x14ac:dyDescent="0.3">
      <c r="B18" s="859"/>
      <c r="C18" s="1706"/>
      <c r="D18" s="1707"/>
      <c r="E18" s="1707"/>
      <c r="F18" s="1707"/>
      <c r="G18" s="1708"/>
    </row>
    <row r="19" spans="2:7" x14ac:dyDescent="0.3">
      <c r="B19" s="858" t="s">
        <v>1368</v>
      </c>
      <c r="C19" s="1709"/>
      <c r="D19" s="1710"/>
      <c r="E19" s="1710"/>
      <c r="F19" s="1710"/>
      <c r="G19" s="1711"/>
    </row>
    <row r="21" spans="2:7" x14ac:dyDescent="0.3">
      <c r="B21" s="661" t="s">
        <v>1369</v>
      </c>
    </row>
    <row r="29" spans="2:7" ht="29.4" customHeight="1" x14ac:dyDescent="0.3">
      <c r="C29" s="735"/>
    </row>
  </sheetData>
  <mergeCells count="1">
    <mergeCell ref="C7:G1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V155"/>
  <sheetViews>
    <sheetView workbookViewId="0">
      <selection activeCell="A3" sqref="A3:T3"/>
    </sheetView>
  </sheetViews>
  <sheetFormatPr defaultColWidth="9.08984375" defaultRowHeight="14" x14ac:dyDescent="0.3"/>
  <cols>
    <col min="1" max="1" width="14.54296875" style="771" customWidth="1"/>
    <col min="2" max="2" width="14.453125" style="827" customWidth="1"/>
    <col min="3" max="3" width="58.08984375" style="785" customWidth="1"/>
    <col min="4" max="17" width="15.36328125" style="771" customWidth="1"/>
    <col min="18" max="18" width="16.08984375" style="771" customWidth="1"/>
    <col min="19" max="19" width="15.36328125" style="771" customWidth="1"/>
    <col min="20" max="20" width="15.36328125" style="829" customWidth="1"/>
    <col min="21" max="21" width="15.36328125" style="784" customWidth="1"/>
    <col min="22" max="22" width="19.453125" style="771" customWidth="1"/>
    <col min="23" max="259" width="9.08984375" style="771"/>
    <col min="260" max="260" width="14.54296875" style="771" customWidth="1"/>
    <col min="261" max="261" width="14.453125" style="771" customWidth="1"/>
    <col min="262" max="262" width="58.08984375" style="771" customWidth="1"/>
    <col min="263" max="263" width="30.453125" style="771" customWidth="1"/>
    <col min="264" max="264" width="27.36328125" style="771" customWidth="1"/>
    <col min="265" max="265" width="30.90625" style="771" customWidth="1"/>
    <col min="266" max="266" width="24.90625" style="771" customWidth="1"/>
    <col min="267" max="267" width="27.36328125" style="771" customWidth="1"/>
    <col min="268" max="268" width="32" style="771" customWidth="1"/>
    <col min="269" max="269" width="25.54296875" style="771" customWidth="1"/>
    <col min="270" max="270" width="27.36328125" style="771" customWidth="1"/>
    <col min="271" max="271" width="31.453125" style="771" customWidth="1"/>
    <col min="272" max="272" width="30.54296875" style="771" customWidth="1"/>
    <col min="273" max="273" width="27.36328125" style="771" customWidth="1"/>
    <col min="274" max="274" width="32.54296875" style="771" customWidth="1"/>
    <col min="275" max="275" width="30.453125" style="771" customWidth="1"/>
    <col min="276" max="276" width="24.36328125" style="771" customWidth="1"/>
    <col min="277" max="277" width="28" style="771" customWidth="1"/>
    <col min="278" max="278" width="19.453125" style="771" customWidth="1"/>
    <col min="279" max="515" width="9.08984375" style="771"/>
    <col min="516" max="516" width="14.54296875" style="771" customWidth="1"/>
    <col min="517" max="517" width="14.453125" style="771" customWidth="1"/>
    <col min="518" max="518" width="58.08984375" style="771" customWidth="1"/>
    <col min="519" max="519" width="30.453125" style="771" customWidth="1"/>
    <col min="520" max="520" width="27.36328125" style="771" customWidth="1"/>
    <col min="521" max="521" width="30.90625" style="771" customWidth="1"/>
    <col min="522" max="522" width="24.90625" style="771" customWidth="1"/>
    <col min="523" max="523" width="27.36328125" style="771" customWidth="1"/>
    <col min="524" max="524" width="32" style="771" customWidth="1"/>
    <col min="525" max="525" width="25.54296875" style="771" customWidth="1"/>
    <col min="526" max="526" width="27.36328125" style="771" customWidth="1"/>
    <col min="527" max="527" width="31.453125" style="771" customWidth="1"/>
    <col min="528" max="528" width="30.54296875" style="771" customWidth="1"/>
    <col min="529" max="529" width="27.36328125" style="771" customWidth="1"/>
    <col min="530" max="530" width="32.54296875" style="771" customWidth="1"/>
    <col min="531" max="531" width="30.453125" style="771" customWidth="1"/>
    <col min="532" max="532" width="24.36328125" style="771" customWidth="1"/>
    <col min="533" max="533" width="28" style="771" customWidth="1"/>
    <col min="534" max="534" width="19.453125" style="771" customWidth="1"/>
    <col min="535" max="771" width="9.08984375" style="771"/>
    <col min="772" max="772" width="14.54296875" style="771" customWidth="1"/>
    <col min="773" max="773" width="14.453125" style="771" customWidth="1"/>
    <col min="774" max="774" width="58.08984375" style="771" customWidth="1"/>
    <col min="775" max="775" width="30.453125" style="771" customWidth="1"/>
    <col min="776" max="776" width="27.36328125" style="771" customWidth="1"/>
    <col min="777" max="777" width="30.90625" style="771" customWidth="1"/>
    <col min="778" max="778" width="24.90625" style="771" customWidth="1"/>
    <col min="779" max="779" width="27.36328125" style="771" customWidth="1"/>
    <col min="780" max="780" width="32" style="771" customWidth="1"/>
    <col min="781" max="781" width="25.54296875" style="771" customWidth="1"/>
    <col min="782" max="782" width="27.36328125" style="771" customWidth="1"/>
    <col min="783" max="783" width="31.453125" style="771" customWidth="1"/>
    <col min="784" max="784" width="30.54296875" style="771" customWidth="1"/>
    <col min="785" max="785" width="27.36328125" style="771" customWidth="1"/>
    <col min="786" max="786" width="32.54296875" style="771" customWidth="1"/>
    <col min="787" max="787" width="30.453125" style="771" customWidth="1"/>
    <col min="788" max="788" width="24.36328125" style="771" customWidth="1"/>
    <col min="789" max="789" width="28" style="771" customWidth="1"/>
    <col min="790" max="790" width="19.453125" style="771" customWidth="1"/>
    <col min="791" max="1027" width="9.08984375" style="771"/>
    <col min="1028" max="1028" width="14.54296875" style="771" customWidth="1"/>
    <col min="1029" max="1029" width="14.453125" style="771" customWidth="1"/>
    <col min="1030" max="1030" width="58.08984375" style="771" customWidth="1"/>
    <col min="1031" max="1031" width="30.453125" style="771" customWidth="1"/>
    <col min="1032" max="1032" width="27.36328125" style="771" customWidth="1"/>
    <col min="1033" max="1033" width="30.90625" style="771" customWidth="1"/>
    <col min="1034" max="1034" width="24.90625" style="771" customWidth="1"/>
    <col min="1035" max="1035" width="27.36328125" style="771" customWidth="1"/>
    <col min="1036" max="1036" width="32" style="771" customWidth="1"/>
    <col min="1037" max="1037" width="25.54296875" style="771" customWidth="1"/>
    <col min="1038" max="1038" width="27.36328125" style="771" customWidth="1"/>
    <col min="1039" max="1039" width="31.453125" style="771" customWidth="1"/>
    <col min="1040" max="1040" width="30.54296875" style="771" customWidth="1"/>
    <col min="1041" max="1041" width="27.36328125" style="771" customWidth="1"/>
    <col min="1042" max="1042" width="32.54296875" style="771" customWidth="1"/>
    <col min="1043" max="1043" width="30.453125" style="771" customWidth="1"/>
    <col min="1044" max="1044" width="24.36328125" style="771" customWidth="1"/>
    <col min="1045" max="1045" width="28" style="771" customWidth="1"/>
    <col min="1046" max="1046" width="19.453125" style="771" customWidth="1"/>
    <col min="1047" max="1283" width="9.08984375" style="771"/>
    <col min="1284" max="1284" width="14.54296875" style="771" customWidth="1"/>
    <col min="1285" max="1285" width="14.453125" style="771" customWidth="1"/>
    <col min="1286" max="1286" width="58.08984375" style="771" customWidth="1"/>
    <col min="1287" max="1287" width="30.453125" style="771" customWidth="1"/>
    <col min="1288" max="1288" width="27.36328125" style="771" customWidth="1"/>
    <col min="1289" max="1289" width="30.90625" style="771" customWidth="1"/>
    <col min="1290" max="1290" width="24.90625" style="771" customWidth="1"/>
    <col min="1291" max="1291" width="27.36328125" style="771" customWidth="1"/>
    <col min="1292" max="1292" width="32" style="771" customWidth="1"/>
    <col min="1293" max="1293" width="25.54296875" style="771" customWidth="1"/>
    <col min="1294" max="1294" width="27.36328125" style="771" customWidth="1"/>
    <col min="1295" max="1295" width="31.453125" style="771" customWidth="1"/>
    <col min="1296" max="1296" width="30.54296875" style="771" customWidth="1"/>
    <col min="1297" max="1297" width="27.36328125" style="771" customWidth="1"/>
    <col min="1298" max="1298" width="32.54296875" style="771" customWidth="1"/>
    <col min="1299" max="1299" width="30.453125" style="771" customWidth="1"/>
    <col min="1300" max="1300" width="24.36328125" style="771" customWidth="1"/>
    <col min="1301" max="1301" width="28" style="771" customWidth="1"/>
    <col min="1302" max="1302" width="19.453125" style="771" customWidth="1"/>
    <col min="1303" max="1539" width="9.08984375" style="771"/>
    <col min="1540" max="1540" width="14.54296875" style="771" customWidth="1"/>
    <col min="1541" max="1541" width="14.453125" style="771" customWidth="1"/>
    <col min="1542" max="1542" width="58.08984375" style="771" customWidth="1"/>
    <col min="1543" max="1543" width="30.453125" style="771" customWidth="1"/>
    <col min="1544" max="1544" width="27.36328125" style="771" customWidth="1"/>
    <col min="1545" max="1545" width="30.90625" style="771" customWidth="1"/>
    <col min="1546" max="1546" width="24.90625" style="771" customWidth="1"/>
    <col min="1547" max="1547" width="27.36328125" style="771" customWidth="1"/>
    <col min="1548" max="1548" width="32" style="771" customWidth="1"/>
    <col min="1549" max="1549" width="25.54296875" style="771" customWidth="1"/>
    <col min="1550" max="1550" width="27.36328125" style="771" customWidth="1"/>
    <col min="1551" max="1551" width="31.453125" style="771" customWidth="1"/>
    <col min="1552" max="1552" width="30.54296875" style="771" customWidth="1"/>
    <col min="1553" max="1553" width="27.36328125" style="771" customWidth="1"/>
    <col min="1554" max="1554" width="32.54296875" style="771" customWidth="1"/>
    <col min="1555" max="1555" width="30.453125" style="771" customWidth="1"/>
    <col min="1556" max="1556" width="24.36328125" style="771" customWidth="1"/>
    <col min="1557" max="1557" width="28" style="771" customWidth="1"/>
    <col min="1558" max="1558" width="19.453125" style="771" customWidth="1"/>
    <col min="1559" max="1795" width="9.08984375" style="771"/>
    <col min="1796" max="1796" width="14.54296875" style="771" customWidth="1"/>
    <col min="1797" max="1797" width="14.453125" style="771" customWidth="1"/>
    <col min="1798" max="1798" width="58.08984375" style="771" customWidth="1"/>
    <col min="1799" max="1799" width="30.453125" style="771" customWidth="1"/>
    <col min="1800" max="1800" width="27.36328125" style="771" customWidth="1"/>
    <col min="1801" max="1801" width="30.90625" style="771" customWidth="1"/>
    <col min="1802" max="1802" width="24.90625" style="771" customWidth="1"/>
    <col min="1803" max="1803" width="27.36328125" style="771" customWidth="1"/>
    <col min="1804" max="1804" width="32" style="771" customWidth="1"/>
    <col min="1805" max="1805" width="25.54296875" style="771" customWidth="1"/>
    <col min="1806" max="1806" width="27.36328125" style="771" customWidth="1"/>
    <col min="1807" max="1807" width="31.453125" style="771" customWidth="1"/>
    <col min="1808" max="1808" width="30.54296875" style="771" customWidth="1"/>
    <col min="1809" max="1809" width="27.36328125" style="771" customWidth="1"/>
    <col min="1810" max="1810" width="32.54296875" style="771" customWidth="1"/>
    <col min="1811" max="1811" width="30.453125" style="771" customWidth="1"/>
    <col min="1812" max="1812" width="24.36328125" style="771" customWidth="1"/>
    <col min="1813" max="1813" width="28" style="771" customWidth="1"/>
    <col min="1814" max="1814" width="19.453125" style="771" customWidth="1"/>
    <col min="1815" max="2051" width="9.08984375" style="771"/>
    <col min="2052" max="2052" width="14.54296875" style="771" customWidth="1"/>
    <col min="2053" max="2053" width="14.453125" style="771" customWidth="1"/>
    <col min="2054" max="2054" width="58.08984375" style="771" customWidth="1"/>
    <col min="2055" max="2055" width="30.453125" style="771" customWidth="1"/>
    <col min="2056" max="2056" width="27.36328125" style="771" customWidth="1"/>
    <col min="2057" max="2057" width="30.90625" style="771" customWidth="1"/>
    <col min="2058" max="2058" width="24.90625" style="771" customWidth="1"/>
    <col min="2059" max="2059" width="27.36328125" style="771" customWidth="1"/>
    <col min="2060" max="2060" width="32" style="771" customWidth="1"/>
    <col min="2061" max="2061" width="25.54296875" style="771" customWidth="1"/>
    <col min="2062" max="2062" width="27.36328125" style="771" customWidth="1"/>
    <col min="2063" max="2063" width="31.453125" style="771" customWidth="1"/>
    <col min="2064" max="2064" width="30.54296875" style="771" customWidth="1"/>
    <col min="2065" max="2065" width="27.36328125" style="771" customWidth="1"/>
    <col min="2066" max="2066" width="32.54296875" style="771" customWidth="1"/>
    <col min="2067" max="2067" width="30.453125" style="771" customWidth="1"/>
    <col min="2068" max="2068" width="24.36328125" style="771" customWidth="1"/>
    <col min="2069" max="2069" width="28" style="771" customWidth="1"/>
    <col min="2070" max="2070" width="19.453125" style="771" customWidth="1"/>
    <col min="2071" max="2307" width="9.08984375" style="771"/>
    <col min="2308" max="2308" width="14.54296875" style="771" customWidth="1"/>
    <col min="2309" max="2309" width="14.453125" style="771" customWidth="1"/>
    <col min="2310" max="2310" width="58.08984375" style="771" customWidth="1"/>
    <col min="2311" max="2311" width="30.453125" style="771" customWidth="1"/>
    <col min="2312" max="2312" width="27.36328125" style="771" customWidth="1"/>
    <col min="2313" max="2313" width="30.90625" style="771" customWidth="1"/>
    <col min="2314" max="2314" width="24.90625" style="771" customWidth="1"/>
    <col min="2315" max="2315" width="27.36328125" style="771" customWidth="1"/>
    <col min="2316" max="2316" width="32" style="771" customWidth="1"/>
    <col min="2317" max="2317" width="25.54296875" style="771" customWidth="1"/>
    <col min="2318" max="2318" width="27.36328125" style="771" customWidth="1"/>
    <col min="2319" max="2319" width="31.453125" style="771" customWidth="1"/>
    <col min="2320" max="2320" width="30.54296875" style="771" customWidth="1"/>
    <col min="2321" max="2321" width="27.36328125" style="771" customWidth="1"/>
    <col min="2322" max="2322" width="32.54296875" style="771" customWidth="1"/>
    <col min="2323" max="2323" width="30.453125" style="771" customWidth="1"/>
    <col min="2324" max="2324" width="24.36328125" style="771" customWidth="1"/>
    <col min="2325" max="2325" width="28" style="771" customWidth="1"/>
    <col min="2326" max="2326" width="19.453125" style="771" customWidth="1"/>
    <col min="2327" max="2563" width="9.08984375" style="771"/>
    <col min="2564" max="2564" width="14.54296875" style="771" customWidth="1"/>
    <col min="2565" max="2565" width="14.453125" style="771" customWidth="1"/>
    <col min="2566" max="2566" width="58.08984375" style="771" customWidth="1"/>
    <col min="2567" max="2567" width="30.453125" style="771" customWidth="1"/>
    <col min="2568" max="2568" width="27.36328125" style="771" customWidth="1"/>
    <col min="2569" max="2569" width="30.90625" style="771" customWidth="1"/>
    <col min="2570" max="2570" width="24.90625" style="771" customWidth="1"/>
    <col min="2571" max="2571" width="27.36328125" style="771" customWidth="1"/>
    <col min="2572" max="2572" width="32" style="771" customWidth="1"/>
    <col min="2573" max="2573" width="25.54296875" style="771" customWidth="1"/>
    <col min="2574" max="2574" width="27.36328125" style="771" customWidth="1"/>
    <col min="2575" max="2575" width="31.453125" style="771" customWidth="1"/>
    <col min="2576" max="2576" width="30.54296875" style="771" customWidth="1"/>
    <col min="2577" max="2577" width="27.36328125" style="771" customWidth="1"/>
    <col min="2578" max="2578" width="32.54296875" style="771" customWidth="1"/>
    <col min="2579" max="2579" width="30.453125" style="771" customWidth="1"/>
    <col min="2580" max="2580" width="24.36328125" style="771" customWidth="1"/>
    <col min="2581" max="2581" width="28" style="771" customWidth="1"/>
    <col min="2582" max="2582" width="19.453125" style="771" customWidth="1"/>
    <col min="2583" max="2819" width="9.08984375" style="771"/>
    <col min="2820" max="2820" width="14.54296875" style="771" customWidth="1"/>
    <col min="2821" max="2821" width="14.453125" style="771" customWidth="1"/>
    <col min="2822" max="2822" width="58.08984375" style="771" customWidth="1"/>
    <col min="2823" max="2823" width="30.453125" style="771" customWidth="1"/>
    <col min="2824" max="2824" width="27.36328125" style="771" customWidth="1"/>
    <col min="2825" max="2825" width="30.90625" style="771" customWidth="1"/>
    <col min="2826" max="2826" width="24.90625" style="771" customWidth="1"/>
    <col min="2827" max="2827" width="27.36328125" style="771" customWidth="1"/>
    <col min="2828" max="2828" width="32" style="771" customWidth="1"/>
    <col min="2829" max="2829" width="25.54296875" style="771" customWidth="1"/>
    <col min="2830" max="2830" width="27.36328125" style="771" customWidth="1"/>
    <col min="2831" max="2831" width="31.453125" style="771" customWidth="1"/>
    <col min="2832" max="2832" width="30.54296875" style="771" customWidth="1"/>
    <col min="2833" max="2833" width="27.36328125" style="771" customWidth="1"/>
    <col min="2834" max="2834" width="32.54296875" style="771" customWidth="1"/>
    <col min="2835" max="2835" width="30.453125" style="771" customWidth="1"/>
    <col min="2836" max="2836" width="24.36328125" style="771" customWidth="1"/>
    <col min="2837" max="2837" width="28" style="771" customWidth="1"/>
    <col min="2838" max="2838" width="19.453125" style="771" customWidth="1"/>
    <col min="2839" max="3075" width="9.08984375" style="771"/>
    <col min="3076" max="3076" width="14.54296875" style="771" customWidth="1"/>
    <col min="3077" max="3077" width="14.453125" style="771" customWidth="1"/>
    <col min="3078" max="3078" width="58.08984375" style="771" customWidth="1"/>
    <col min="3079" max="3079" width="30.453125" style="771" customWidth="1"/>
    <col min="3080" max="3080" width="27.36328125" style="771" customWidth="1"/>
    <col min="3081" max="3081" width="30.90625" style="771" customWidth="1"/>
    <col min="3082" max="3082" width="24.90625" style="771" customWidth="1"/>
    <col min="3083" max="3083" width="27.36328125" style="771" customWidth="1"/>
    <col min="3084" max="3084" width="32" style="771" customWidth="1"/>
    <col min="3085" max="3085" width="25.54296875" style="771" customWidth="1"/>
    <col min="3086" max="3086" width="27.36328125" style="771" customWidth="1"/>
    <col min="3087" max="3087" width="31.453125" style="771" customWidth="1"/>
    <col min="3088" max="3088" width="30.54296875" style="771" customWidth="1"/>
    <col min="3089" max="3089" width="27.36328125" style="771" customWidth="1"/>
    <col min="3090" max="3090" width="32.54296875" style="771" customWidth="1"/>
    <col min="3091" max="3091" width="30.453125" style="771" customWidth="1"/>
    <col min="3092" max="3092" width="24.36328125" style="771" customWidth="1"/>
    <col min="3093" max="3093" width="28" style="771" customWidth="1"/>
    <col min="3094" max="3094" width="19.453125" style="771" customWidth="1"/>
    <col min="3095" max="3331" width="9.08984375" style="771"/>
    <col min="3332" max="3332" width="14.54296875" style="771" customWidth="1"/>
    <col min="3333" max="3333" width="14.453125" style="771" customWidth="1"/>
    <col min="3334" max="3334" width="58.08984375" style="771" customWidth="1"/>
    <col min="3335" max="3335" width="30.453125" style="771" customWidth="1"/>
    <col min="3336" max="3336" width="27.36328125" style="771" customWidth="1"/>
    <col min="3337" max="3337" width="30.90625" style="771" customWidth="1"/>
    <col min="3338" max="3338" width="24.90625" style="771" customWidth="1"/>
    <col min="3339" max="3339" width="27.36328125" style="771" customWidth="1"/>
    <col min="3340" max="3340" width="32" style="771" customWidth="1"/>
    <col min="3341" max="3341" width="25.54296875" style="771" customWidth="1"/>
    <col min="3342" max="3342" width="27.36328125" style="771" customWidth="1"/>
    <col min="3343" max="3343" width="31.453125" style="771" customWidth="1"/>
    <col min="3344" max="3344" width="30.54296875" style="771" customWidth="1"/>
    <col min="3345" max="3345" width="27.36328125" style="771" customWidth="1"/>
    <col min="3346" max="3346" width="32.54296875" style="771" customWidth="1"/>
    <col min="3347" max="3347" width="30.453125" style="771" customWidth="1"/>
    <col min="3348" max="3348" width="24.36328125" style="771" customWidth="1"/>
    <col min="3349" max="3349" width="28" style="771" customWidth="1"/>
    <col min="3350" max="3350" width="19.453125" style="771" customWidth="1"/>
    <col min="3351" max="3587" width="9.08984375" style="771"/>
    <col min="3588" max="3588" width="14.54296875" style="771" customWidth="1"/>
    <col min="3589" max="3589" width="14.453125" style="771" customWidth="1"/>
    <col min="3590" max="3590" width="58.08984375" style="771" customWidth="1"/>
    <col min="3591" max="3591" width="30.453125" style="771" customWidth="1"/>
    <col min="3592" max="3592" width="27.36328125" style="771" customWidth="1"/>
    <col min="3593" max="3593" width="30.90625" style="771" customWidth="1"/>
    <col min="3594" max="3594" width="24.90625" style="771" customWidth="1"/>
    <col min="3595" max="3595" width="27.36328125" style="771" customWidth="1"/>
    <col min="3596" max="3596" width="32" style="771" customWidth="1"/>
    <col min="3597" max="3597" width="25.54296875" style="771" customWidth="1"/>
    <col min="3598" max="3598" width="27.36328125" style="771" customWidth="1"/>
    <col min="3599" max="3599" width="31.453125" style="771" customWidth="1"/>
    <col min="3600" max="3600" width="30.54296875" style="771" customWidth="1"/>
    <col min="3601" max="3601" width="27.36328125" style="771" customWidth="1"/>
    <col min="3602" max="3602" width="32.54296875" style="771" customWidth="1"/>
    <col min="3603" max="3603" width="30.453125" style="771" customWidth="1"/>
    <col min="3604" max="3604" width="24.36328125" style="771" customWidth="1"/>
    <col min="3605" max="3605" width="28" style="771" customWidth="1"/>
    <col min="3606" max="3606" width="19.453125" style="771" customWidth="1"/>
    <col min="3607" max="3843" width="9.08984375" style="771"/>
    <col min="3844" max="3844" width="14.54296875" style="771" customWidth="1"/>
    <col min="3845" max="3845" width="14.453125" style="771" customWidth="1"/>
    <col min="3846" max="3846" width="58.08984375" style="771" customWidth="1"/>
    <col min="3847" max="3847" width="30.453125" style="771" customWidth="1"/>
    <col min="3848" max="3848" width="27.36328125" style="771" customWidth="1"/>
    <col min="3849" max="3849" width="30.90625" style="771" customWidth="1"/>
    <col min="3850" max="3850" width="24.90625" style="771" customWidth="1"/>
    <col min="3851" max="3851" width="27.36328125" style="771" customWidth="1"/>
    <col min="3852" max="3852" width="32" style="771" customWidth="1"/>
    <col min="3853" max="3853" width="25.54296875" style="771" customWidth="1"/>
    <col min="3854" max="3854" width="27.36328125" style="771" customWidth="1"/>
    <col min="3855" max="3855" width="31.453125" style="771" customWidth="1"/>
    <col min="3856" max="3856" width="30.54296875" style="771" customWidth="1"/>
    <col min="3857" max="3857" width="27.36328125" style="771" customWidth="1"/>
    <col min="3858" max="3858" width="32.54296875" style="771" customWidth="1"/>
    <col min="3859" max="3859" width="30.453125" style="771" customWidth="1"/>
    <col min="3860" max="3860" width="24.36328125" style="771" customWidth="1"/>
    <col min="3861" max="3861" width="28" style="771" customWidth="1"/>
    <col min="3862" max="3862" width="19.453125" style="771" customWidth="1"/>
    <col min="3863" max="4099" width="9.08984375" style="771"/>
    <col min="4100" max="4100" width="14.54296875" style="771" customWidth="1"/>
    <col min="4101" max="4101" width="14.453125" style="771" customWidth="1"/>
    <col min="4102" max="4102" width="58.08984375" style="771" customWidth="1"/>
    <col min="4103" max="4103" width="30.453125" style="771" customWidth="1"/>
    <col min="4104" max="4104" width="27.36328125" style="771" customWidth="1"/>
    <col min="4105" max="4105" width="30.90625" style="771" customWidth="1"/>
    <col min="4106" max="4106" width="24.90625" style="771" customWidth="1"/>
    <col min="4107" max="4107" width="27.36328125" style="771" customWidth="1"/>
    <col min="4108" max="4108" width="32" style="771" customWidth="1"/>
    <col min="4109" max="4109" width="25.54296875" style="771" customWidth="1"/>
    <col min="4110" max="4110" width="27.36328125" style="771" customWidth="1"/>
    <col min="4111" max="4111" width="31.453125" style="771" customWidth="1"/>
    <col min="4112" max="4112" width="30.54296875" style="771" customWidth="1"/>
    <col min="4113" max="4113" width="27.36328125" style="771" customWidth="1"/>
    <col min="4114" max="4114" width="32.54296875" style="771" customWidth="1"/>
    <col min="4115" max="4115" width="30.453125" style="771" customWidth="1"/>
    <col min="4116" max="4116" width="24.36328125" style="771" customWidth="1"/>
    <col min="4117" max="4117" width="28" style="771" customWidth="1"/>
    <col min="4118" max="4118" width="19.453125" style="771" customWidth="1"/>
    <col min="4119" max="4355" width="9.08984375" style="771"/>
    <col min="4356" max="4356" width="14.54296875" style="771" customWidth="1"/>
    <col min="4357" max="4357" width="14.453125" style="771" customWidth="1"/>
    <col min="4358" max="4358" width="58.08984375" style="771" customWidth="1"/>
    <col min="4359" max="4359" width="30.453125" style="771" customWidth="1"/>
    <col min="4360" max="4360" width="27.36328125" style="771" customWidth="1"/>
    <col min="4361" max="4361" width="30.90625" style="771" customWidth="1"/>
    <col min="4362" max="4362" width="24.90625" style="771" customWidth="1"/>
    <col min="4363" max="4363" width="27.36328125" style="771" customWidth="1"/>
    <col min="4364" max="4364" width="32" style="771" customWidth="1"/>
    <col min="4365" max="4365" width="25.54296875" style="771" customWidth="1"/>
    <col min="4366" max="4366" width="27.36328125" style="771" customWidth="1"/>
    <col min="4367" max="4367" width="31.453125" style="771" customWidth="1"/>
    <col min="4368" max="4368" width="30.54296875" style="771" customWidth="1"/>
    <col min="4369" max="4369" width="27.36328125" style="771" customWidth="1"/>
    <col min="4370" max="4370" width="32.54296875" style="771" customWidth="1"/>
    <col min="4371" max="4371" width="30.453125" style="771" customWidth="1"/>
    <col min="4372" max="4372" width="24.36328125" style="771" customWidth="1"/>
    <col min="4373" max="4373" width="28" style="771" customWidth="1"/>
    <col min="4374" max="4374" width="19.453125" style="771" customWidth="1"/>
    <col min="4375" max="4611" width="9.08984375" style="771"/>
    <col min="4612" max="4612" width="14.54296875" style="771" customWidth="1"/>
    <col min="4613" max="4613" width="14.453125" style="771" customWidth="1"/>
    <col min="4614" max="4614" width="58.08984375" style="771" customWidth="1"/>
    <col min="4615" max="4615" width="30.453125" style="771" customWidth="1"/>
    <col min="4616" max="4616" width="27.36328125" style="771" customWidth="1"/>
    <col min="4617" max="4617" width="30.90625" style="771" customWidth="1"/>
    <col min="4618" max="4618" width="24.90625" style="771" customWidth="1"/>
    <col min="4619" max="4619" width="27.36328125" style="771" customWidth="1"/>
    <col min="4620" max="4620" width="32" style="771" customWidth="1"/>
    <col min="4621" max="4621" width="25.54296875" style="771" customWidth="1"/>
    <col min="4622" max="4622" width="27.36328125" style="771" customWidth="1"/>
    <col min="4623" max="4623" width="31.453125" style="771" customWidth="1"/>
    <col min="4624" max="4624" width="30.54296875" style="771" customWidth="1"/>
    <col min="4625" max="4625" width="27.36328125" style="771" customWidth="1"/>
    <col min="4626" max="4626" width="32.54296875" style="771" customWidth="1"/>
    <col min="4627" max="4627" width="30.453125" style="771" customWidth="1"/>
    <col min="4628" max="4628" width="24.36328125" style="771" customWidth="1"/>
    <col min="4629" max="4629" width="28" style="771" customWidth="1"/>
    <col min="4630" max="4630" width="19.453125" style="771" customWidth="1"/>
    <col min="4631" max="4867" width="9.08984375" style="771"/>
    <col min="4868" max="4868" width="14.54296875" style="771" customWidth="1"/>
    <col min="4869" max="4869" width="14.453125" style="771" customWidth="1"/>
    <col min="4870" max="4870" width="58.08984375" style="771" customWidth="1"/>
    <col min="4871" max="4871" width="30.453125" style="771" customWidth="1"/>
    <col min="4872" max="4872" width="27.36328125" style="771" customWidth="1"/>
    <col min="4873" max="4873" width="30.90625" style="771" customWidth="1"/>
    <col min="4874" max="4874" width="24.90625" style="771" customWidth="1"/>
    <col min="4875" max="4875" width="27.36328125" style="771" customWidth="1"/>
    <col min="4876" max="4876" width="32" style="771" customWidth="1"/>
    <col min="4877" max="4877" width="25.54296875" style="771" customWidth="1"/>
    <col min="4878" max="4878" width="27.36328125" style="771" customWidth="1"/>
    <col min="4879" max="4879" width="31.453125" style="771" customWidth="1"/>
    <col min="4880" max="4880" width="30.54296875" style="771" customWidth="1"/>
    <col min="4881" max="4881" width="27.36328125" style="771" customWidth="1"/>
    <col min="4882" max="4882" width="32.54296875" style="771" customWidth="1"/>
    <col min="4883" max="4883" width="30.453125" style="771" customWidth="1"/>
    <col min="4884" max="4884" width="24.36328125" style="771" customWidth="1"/>
    <col min="4885" max="4885" width="28" style="771" customWidth="1"/>
    <col min="4886" max="4886" width="19.453125" style="771" customWidth="1"/>
    <col min="4887" max="5123" width="9.08984375" style="771"/>
    <col min="5124" max="5124" width="14.54296875" style="771" customWidth="1"/>
    <col min="5125" max="5125" width="14.453125" style="771" customWidth="1"/>
    <col min="5126" max="5126" width="58.08984375" style="771" customWidth="1"/>
    <col min="5127" max="5127" width="30.453125" style="771" customWidth="1"/>
    <col min="5128" max="5128" width="27.36328125" style="771" customWidth="1"/>
    <col min="5129" max="5129" width="30.90625" style="771" customWidth="1"/>
    <col min="5130" max="5130" width="24.90625" style="771" customWidth="1"/>
    <col min="5131" max="5131" width="27.36328125" style="771" customWidth="1"/>
    <col min="5132" max="5132" width="32" style="771" customWidth="1"/>
    <col min="5133" max="5133" width="25.54296875" style="771" customWidth="1"/>
    <col min="5134" max="5134" width="27.36328125" style="771" customWidth="1"/>
    <col min="5135" max="5135" width="31.453125" style="771" customWidth="1"/>
    <col min="5136" max="5136" width="30.54296875" style="771" customWidth="1"/>
    <col min="5137" max="5137" width="27.36328125" style="771" customWidth="1"/>
    <col min="5138" max="5138" width="32.54296875" style="771" customWidth="1"/>
    <col min="5139" max="5139" width="30.453125" style="771" customWidth="1"/>
    <col min="5140" max="5140" width="24.36328125" style="771" customWidth="1"/>
    <col min="5141" max="5141" width="28" style="771" customWidth="1"/>
    <col min="5142" max="5142" width="19.453125" style="771" customWidth="1"/>
    <col min="5143" max="5379" width="9.08984375" style="771"/>
    <col min="5380" max="5380" width="14.54296875" style="771" customWidth="1"/>
    <col min="5381" max="5381" width="14.453125" style="771" customWidth="1"/>
    <col min="5382" max="5382" width="58.08984375" style="771" customWidth="1"/>
    <col min="5383" max="5383" width="30.453125" style="771" customWidth="1"/>
    <col min="5384" max="5384" width="27.36328125" style="771" customWidth="1"/>
    <col min="5385" max="5385" width="30.90625" style="771" customWidth="1"/>
    <col min="5386" max="5386" width="24.90625" style="771" customWidth="1"/>
    <col min="5387" max="5387" width="27.36328125" style="771" customWidth="1"/>
    <col min="5388" max="5388" width="32" style="771" customWidth="1"/>
    <col min="5389" max="5389" width="25.54296875" style="771" customWidth="1"/>
    <col min="5390" max="5390" width="27.36328125" style="771" customWidth="1"/>
    <col min="5391" max="5391" width="31.453125" style="771" customWidth="1"/>
    <col min="5392" max="5392" width="30.54296875" style="771" customWidth="1"/>
    <col min="5393" max="5393" width="27.36328125" style="771" customWidth="1"/>
    <col min="5394" max="5394" width="32.54296875" style="771" customWidth="1"/>
    <col min="5395" max="5395" width="30.453125" style="771" customWidth="1"/>
    <col min="5396" max="5396" width="24.36328125" style="771" customWidth="1"/>
    <col min="5397" max="5397" width="28" style="771" customWidth="1"/>
    <col min="5398" max="5398" width="19.453125" style="771" customWidth="1"/>
    <col min="5399" max="5635" width="9.08984375" style="771"/>
    <col min="5636" max="5636" width="14.54296875" style="771" customWidth="1"/>
    <col min="5637" max="5637" width="14.453125" style="771" customWidth="1"/>
    <col min="5638" max="5638" width="58.08984375" style="771" customWidth="1"/>
    <col min="5639" max="5639" width="30.453125" style="771" customWidth="1"/>
    <col min="5640" max="5640" width="27.36328125" style="771" customWidth="1"/>
    <col min="5641" max="5641" width="30.90625" style="771" customWidth="1"/>
    <col min="5642" max="5642" width="24.90625" style="771" customWidth="1"/>
    <col min="5643" max="5643" width="27.36328125" style="771" customWidth="1"/>
    <col min="5644" max="5644" width="32" style="771" customWidth="1"/>
    <col min="5645" max="5645" width="25.54296875" style="771" customWidth="1"/>
    <col min="5646" max="5646" width="27.36328125" style="771" customWidth="1"/>
    <col min="5647" max="5647" width="31.453125" style="771" customWidth="1"/>
    <col min="5648" max="5648" width="30.54296875" style="771" customWidth="1"/>
    <col min="5649" max="5649" width="27.36328125" style="771" customWidth="1"/>
    <col min="5650" max="5650" width="32.54296875" style="771" customWidth="1"/>
    <col min="5651" max="5651" width="30.453125" style="771" customWidth="1"/>
    <col min="5652" max="5652" width="24.36328125" style="771" customWidth="1"/>
    <col min="5653" max="5653" width="28" style="771" customWidth="1"/>
    <col min="5654" max="5654" width="19.453125" style="771" customWidth="1"/>
    <col min="5655" max="5891" width="9.08984375" style="771"/>
    <col min="5892" max="5892" width="14.54296875" style="771" customWidth="1"/>
    <col min="5893" max="5893" width="14.453125" style="771" customWidth="1"/>
    <col min="5894" max="5894" width="58.08984375" style="771" customWidth="1"/>
    <col min="5895" max="5895" width="30.453125" style="771" customWidth="1"/>
    <col min="5896" max="5896" width="27.36328125" style="771" customWidth="1"/>
    <col min="5897" max="5897" width="30.90625" style="771" customWidth="1"/>
    <col min="5898" max="5898" width="24.90625" style="771" customWidth="1"/>
    <col min="5899" max="5899" width="27.36328125" style="771" customWidth="1"/>
    <col min="5900" max="5900" width="32" style="771" customWidth="1"/>
    <col min="5901" max="5901" width="25.54296875" style="771" customWidth="1"/>
    <col min="5902" max="5902" width="27.36328125" style="771" customWidth="1"/>
    <col min="5903" max="5903" width="31.453125" style="771" customWidth="1"/>
    <col min="5904" max="5904" width="30.54296875" style="771" customWidth="1"/>
    <col min="5905" max="5905" width="27.36328125" style="771" customWidth="1"/>
    <col min="5906" max="5906" width="32.54296875" style="771" customWidth="1"/>
    <col min="5907" max="5907" width="30.453125" style="771" customWidth="1"/>
    <col min="5908" max="5908" width="24.36328125" style="771" customWidth="1"/>
    <col min="5909" max="5909" width="28" style="771" customWidth="1"/>
    <col min="5910" max="5910" width="19.453125" style="771" customWidth="1"/>
    <col min="5911" max="6147" width="9.08984375" style="771"/>
    <col min="6148" max="6148" width="14.54296875" style="771" customWidth="1"/>
    <col min="6149" max="6149" width="14.453125" style="771" customWidth="1"/>
    <col min="6150" max="6150" width="58.08984375" style="771" customWidth="1"/>
    <col min="6151" max="6151" width="30.453125" style="771" customWidth="1"/>
    <col min="6152" max="6152" width="27.36328125" style="771" customWidth="1"/>
    <col min="6153" max="6153" width="30.90625" style="771" customWidth="1"/>
    <col min="6154" max="6154" width="24.90625" style="771" customWidth="1"/>
    <col min="6155" max="6155" width="27.36328125" style="771" customWidth="1"/>
    <col min="6156" max="6156" width="32" style="771" customWidth="1"/>
    <col min="6157" max="6157" width="25.54296875" style="771" customWidth="1"/>
    <col min="6158" max="6158" width="27.36328125" style="771" customWidth="1"/>
    <col min="6159" max="6159" width="31.453125" style="771" customWidth="1"/>
    <col min="6160" max="6160" width="30.54296875" style="771" customWidth="1"/>
    <col min="6161" max="6161" width="27.36328125" style="771" customWidth="1"/>
    <col min="6162" max="6162" width="32.54296875" style="771" customWidth="1"/>
    <col min="6163" max="6163" width="30.453125" style="771" customWidth="1"/>
    <col min="6164" max="6164" width="24.36328125" style="771" customWidth="1"/>
    <col min="6165" max="6165" width="28" style="771" customWidth="1"/>
    <col min="6166" max="6166" width="19.453125" style="771" customWidth="1"/>
    <col min="6167" max="6403" width="9.08984375" style="771"/>
    <col min="6404" max="6404" width="14.54296875" style="771" customWidth="1"/>
    <col min="6405" max="6405" width="14.453125" style="771" customWidth="1"/>
    <col min="6406" max="6406" width="58.08984375" style="771" customWidth="1"/>
    <col min="6407" max="6407" width="30.453125" style="771" customWidth="1"/>
    <col min="6408" max="6408" width="27.36328125" style="771" customWidth="1"/>
    <col min="6409" max="6409" width="30.90625" style="771" customWidth="1"/>
    <col min="6410" max="6410" width="24.90625" style="771" customWidth="1"/>
    <col min="6411" max="6411" width="27.36328125" style="771" customWidth="1"/>
    <col min="6412" max="6412" width="32" style="771" customWidth="1"/>
    <col min="6413" max="6413" width="25.54296875" style="771" customWidth="1"/>
    <col min="6414" max="6414" width="27.36328125" style="771" customWidth="1"/>
    <col min="6415" max="6415" width="31.453125" style="771" customWidth="1"/>
    <col min="6416" max="6416" width="30.54296875" style="771" customWidth="1"/>
    <col min="6417" max="6417" width="27.36328125" style="771" customWidth="1"/>
    <col min="6418" max="6418" width="32.54296875" style="771" customWidth="1"/>
    <col min="6419" max="6419" width="30.453125" style="771" customWidth="1"/>
    <col min="6420" max="6420" width="24.36328125" style="771" customWidth="1"/>
    <col min="6421" max="6421" width="28" style="771" customWidth="1"/>
    <col min="6422" max="6422" width="19.453125" style="771" customWidth="1"/>
    <col min="6423" max="6659" width="9.08984375" style="771"/>
    <col min="6660" max="6660" width="14.54296875" style="771" customWidth="1"/>
    <col min="6661" max="6661" width="14.453125" style="771" customWidth="1"/>
    <col min="6662" max="6662" width="58.08984375" style="771" customWidth="1"/>
    <col min="6663" max="6663" width="30.453125" style="771" customWidth="1"/>
    <col min="6664" max="6664" width="27.36328125" style="771" customWidth="1"/>
    <col min="6665" max="6665" width="30.90625" style="771" customWidth="1"/>
    <col min="6666" max="6666" width="24.90625" style="771" customWidth="1"/>
    <col min="6667" max="6667" width="27.36328125" style="771" customWidth="1"/>
    <col min="6668" max="6668" width="32" style="771" customWidth="1"/>
    <col min="6669" max="6669" width="25.54296875" style="771" customWidth="1"/>
    <col min="6670" max="6670" width="27.36328125" style="771" customWidth="1"/>
    <col min="6671" max="6671" width="31.453125" style="771" customWidth="1"/>
    <col min="6672" max="6672" width="30.54296875" style="771" customWidth="1"/>
    <col min="6673" max="6673" width="27.36328125" style="771" customWidth="1"/>
    <col min="6674" max="6674" width="32.54296875" style="771" customWidth="1"/>
    <col min="6675" max="6675" width="30.453125" style="771" customWidth="1"/>
    <col min="6676" max="6676" width="24.36328125" style="771" customWidth="1"/>
    <col min="6677" max="6677" width="28" style="771" customWidth="1"/>
    <col min="6678" max="6678" width="19.453125" style="771" customWidth="1"/>
    <col min="6679" max="6915" width="9.08984375" style="771"/>
    <col min="6916" max="6916" width="14.54296875" style="771" customWidth="1"/>
    <col min="6917" max="6917" width="14.453125" style="771" customWidth="1"/>
    <col min="6918" max="6918" width="58.08984375" style="771" customWidth="1"/>
    <col min="6919" max="6919" width="30.453125" style="771" customWidth="1"/>
    <col min="6920" max="6920" width="27.36328125" style="771" customWidth="1"/>
    <col min="6921" max="6921" width="30.90625" style="771" customWidth="1"/>
    <col min="6922" max="6922" width="24.90625" style="771" customWidth="1"/>
    <col min="6923" max="6923" width="27.36328125" style="771" customWidth="1"/>
    <col min="6924" max="6924" width="32" style="771" customWidth="1"/>
    <col min="6925" max="6925" width="25.54296875" style="771" customWidth="1"/>
    <col min="6926" max="6926" width="27.36328125" style="771" customWidth="1"/>
    <col min="6927" max="6927" width="31.453125" style="771" customWidth="1"/>
    <col min="6928" max="6928" width="30.54296875" style="771" customWidth="1"/>
    <col min="6929" max="6929" width="27.36328125" style="771" customWidth="1"/>
    <col min="6930" max="6930" width="32.54296875" style="771" customWidth="1"/>
    <col min="6931" max="6931" width="30.453125" style="771" customWidth="1"/>
    <col min="6932" max="6932" width="24.36328125" style="771" customWidth="1"/>
    <col min="6933" max="6933" width="28" style="771" customWidth="1"/>
    <col min="6934" max="6934" width="19.453125" style="771" customWidth="1"/>
    <col min="6935" max="7171" width="9.08984375" style="771"/>
    <col min="7172" max="7172" width="14.54296875" style="771" customWidth="1"/>
    <col min="7173" max="7173" width="14.453125" style="771" customWidth="1"/>
    <col min="7174" max="7174" width="58.08984375" style="771" customWidth="1"/>
    <col min="7175" max="7175" width="30.453125" style="771" customWidth="1"/>
    <col min="7176" max="7176" width="27.36328125" style="771" customWidth="1"/>
    <col min="7177" max="7177" width="30.90625" style="771" customWidth="1"/>
    <col min="7178" max="7178" width="24.90625" style="771" customWidth="1"/>
    <col min="7179" max="7179" width="27.36328125" style="771" customWidth="1"/>
    <col min="7180" max="7180" width="32" style="771" customWidth="1"/>
    <col min="7181" max="7181" width="25.54296875" style="771" customWidth="1"/>
    <col min="7182" max="7182" width="27.36328125" style="771" customWidth="1"/>
    <col min="7183" max="7183" width="31.453125" style="771" customWidth="1"/>
    <col min="7184" max="7184" width="30.54296875" style="771" customWidth="1"/>
    <col min="7185" max="7185" width="27.36328125" style="771" customWidth="1"/>
    <col min="7186" max="7186" width="32.54296875" style="771" customWidth="1"/>
    <col min="7187" max="7187" width="30.453125" style="771" customWidth="1"/>
    <col min="7188" max="7188" width="24.36328125" style="771" customWidth="1"/>
    <col min="7189" max="7189" width="28" style="771" customWidth="1"/>
    <col min="7190" max="7190" width="19.453125" style="771" customWidth="1"/>
    <col min="7191" max="7427" width="9.08984375" style="771"/>
    <col min="7428" max="7428" width="14.54296875" style="771" customWidth="1"/>
    <col min="7429" max="7429" width="14.453125" style="771" customWidth="1"/>
    <col min="7430" max="7430" width="58.08984375" style="771" customWidth="1"/>
    <col min="7431" max="7431" width="30.453125" style="771" customWidth="1"/>
    <col min="7432" max="7432" width="27.36328125" style="771" customWidth="1"/>
    <col min="7433" max="7433" width="30.90625" style="771" customWidth="1"/>
    <col min="7434" max="7434" width="24.90625" style="771" customWidth="1"/>
    <col min="7435" max="7435" width="27.36328125" style="771" customWidth="1"/>
    <col min="7436" max="7436" width="32" style="771" customWidth="1"/>
    <col min="7437" max="7437" width="25.54296875" style="771" customWidth="1"/>
    <col min="7438" max="7438" width="27.36328125" style="771" customWidth="1"/>
    <col min="7439" max="7439" width="31.453125" style="771" customWidth="1"/>
    <col min="7440" max="7440" width="30.54296875" style="771" customWidth="1"/>
    <col min="7441" max="7441" width="27.36328125" style="771" customWidth="1"/>
    <col min="7442" max="7442" width="32.54296875" style="771" customWidth="1"/>
    <col min="7443" max="7443" width="30.453125" style="771" customWidth="1"/>
    <col min="7444" max="7444" width="24.36328125" style="771" customWidth="1"/>
    <col min="7445" max="7445" width="28" style="771" customWidth="1"/>
    <col min="7446" max="7446" width="19.453125" style="771" customWidth="1"/>
    <col min="7447" max="7683" width="9.08984375" style="771"/>
    <col min="7684" max="7684" width="14.54296875" style="771" customWidth="1"/>
    <col min="7685" max="7685" width="14.453125" style="771" customWidth="1"/>
    <col min="7686" max="7686" width="58.08984375" style="771" customWidth="1"/>
    <col min="7687" max="7687" width="30.453125" style="771" customWidth="1"/>
    <col min="7688" max="7688" width="27.36328125" style="771" customWidth="1"/>
    <col min="7689" max="7689" width="30.90625" style="771" customWidth="1"/>
    <col min="7690" max="7690" width="24.90625" style="771" customWidth="1"/>
    <col min="7691" max="7691" width="27.36328125" style="771" customWidth="1"/>
    <col min="7692" max="7692" width="32" style="771" customWidth="1"/>
    <col min="7693" max="7693" width="25.54296875" style="771" customWidth="1"/>
    <col min="7694" max="7694" width="27.36328125" style="771" customWidth="1"/>
    <col min="7695" max="7695" width="31.453125" style="771" customWidth="1"/>
    <col min="7696" max="7696" width="30.54296875" style="771" customWidth="1"/>
    <col min="7697" max="7697" width="27.36328125" style="771" customWidth="1"/>
    <col min="7698" max="7698" width="32.54296875" style="771" customWidth="1"/>
    <col min="7699" max="7699" width="30.453125" style="771" customWidth="1"/>
    <col min="7700" max="7700" width="24.36328125" style="771" customWidth="1"/>
    <col min="7701" max="7701" width="28" style="771" customWidth="1"/>
    <col min="7702" max="7702" width="19.453125" style="771" customWidth="1"/>
    <col min="7703" max="7939" width="9.08984375" style="771"/>
    <col min="7940" max="7940" width="14.54296875" style="771" customWidth="1"/>
    <col min="7941" max="7941" width="14.453125" style="771" customWidth="1"/>
    <col min="7942" max="7942" width="58.08984375" style="771" customWidth="1"/>
    <col min="7943" max="7943" width="30.453125" style="771" customWidth="1"/>
    <col min="7944" max="7944" width="27.36328125" style="771" customWidth="1"/>
    <col min="7945" max="7945" width="30.90625" style="771" customWidth="1"/>
    <col min="7946" max="7946" width="24.90625" style="771" customWidth="1"/>
    <col min="7947" max="7947" width="27.36328125" style="771" customWidth="1"/>
    <col min="7948" max="7948" width="32" style="771" customWidth="1"/>
    <col min="7949" max="7949" width="25.54296875" style="771" customWidth="1"/>
    <col min="7950" max="7950" width="27.36328125" style="771" customWidth="1"/>
    <col min="7951" max="7951" width="31.453125" style="771" customWidth="1"/>
    <col min="7952" max="7952" width="30.54296875" style="771" customWidth="1"/>
    <col min="7953" max="7953" width="27.36328125" style="771" customWidth="1"/>
    <col min="7954" max="7954" width="32.54296875" style="771" customWidth="1"/>
    <col min="7955" max="7955" width="30.453125" style="771" customWidth="1"/>
    <col min="7956" max="7956" width="24.36328125" style="771" customWidth="1"/>
    <col min="7957" max="7957" width="28" style="771" customWidth="1"/>
    <col min="7958" max="7958" width="19.453125" style="771" customWidth="1"/>
    <col min="7959" max="8195" width="9.08984375" style="771"/>
    <col min="8196" max="8196" width="14.54296875" style="771" customWidth="1"/>
    <col min="8197" max="8197" width="14.453125" style="771" customWidth="1"/>
    <col min="8198" max="8198" width="58.08984375" style="771" customWidth="1"/>
    <col min="8199" max="8199" width="30.453125" style="771" customWidth="1"/>
    <col min="8200" max="8200" width="27.36328125" style="771" customWidth="1"/>
    <col min="8201" max="8201" width="30.90625" style="771" customWidth="1"/>
    <col min="8202" max="8202" width="24.90625" style="771" customWidth="1"/>
    <col min="8203" max="8203" width="27.36328125" style="771" customWidth="1"/>
    <col min="8204" max="8204" width="32" style="771" customWidth="1"/>
    <col min="8205" max="8205" width="25.54296875" style="771" customWidth="1"/>
    <col min="8206" max="8206" width="27.36328125" style="771" customWidth="1"/>
    <col min="8207" max="8207" width="31.453125" style="771" customWidth="1"/>
    <col min="8208" max="8208" width="30.54296875" style="771" customWidth="1"/>
    <col min="8209" max="8209" width="27.36328125" style="771" customWidth="1"/>
    <col min="8210" max="8210" width="32.54296875" style="771" customWidth="1"/>
    <col min="8211" max="8211" width="30.453125" style="771" customWidth="1"/>
    <col min="8212" max="8212" width="24.36328125" style="771" customWidth="1"/>
    <col min="8213" max="8213" width="28" style="771" customWidth="1"/>
    <col min="8214" max="8214" width="19.453125" style="771" customWidth="1"/>
    <col min="8215" max="8451" width="9.08984375" style="771"/>
    <col min="8452" max="8452" width="14.54296875" style="771" customWidth="1"/>
    <col min="8453" max="8453" width="14.453125" style="771" customWidth="1"/>
    <col min="8454" max="8454" width="58.08984375" style="771" customWidth="1"/>
    <col min="8455" max="8455" width="30.453125" style="771" customWidth="1"/>
    <col min="8456" max="8456" width="27.36328125" style="771" customWidth="1"/>
    <col min="8457" max="8457" width="30.90625" style="771" customWidth="1"/>
    <col min="8458" max="8458" width="24.90625" style="771" customWidth="1"/>
    <col min="8459" max="8459" width="27.36328125" style="771" customWidth="1"/>
    <col min="8460" max="8460" width="32" style="771" customWidth="1"/>
    <col min="8461" max="8461" width="25.54296875" style="771" customWidth="1"/>
    <col min="8462" max="8462" width="27.36328125" style="771" customWidth="1"/>
    <col min="8463" max="8463" width="31.453125" style="771" customWidth="1"/>
    <col min="8464" max="8464" width="30.54296875" style="771" customWidth="1"/>
    <col min="8465" max="8465" width="27.36328125" style="771" customWidth="1"/>
    <col min="8466" max="8466" width="32.54296875" style="771" customWidth="1"/>
    <col min="8467" max="8467" width="30.453125" style="771" customWidth="1"/>
    <col min="8468" max="8468" width="24.36328125" style="771" customWidth="1"/>
    <col min="8469" max="8469" width="28" style="771" customWidth="1"/>
    <col min="8470" max="8470" width="19.453125" style="771" customWidth="1"/>
    <col min="8471" max="8707" width="9.08984375" style="771"/>
    <col min="8708" max="8708" width="14.54296875" style="771" customWidth="1"/>
    <col min="8709" max="8709" width="14.453125" style="771" customWidth="1"/>
    <col min="8710" max="8710" width="58.08984375" style="771" customWidth="1"/>
    <col min="8711" max="8711" width="30.453125" style="771" customWidth="1"/>
    <col min="8712" max="8712" width="27.36328125" style="771" customWidth="1"/>
    <col min="8713" max="8713" width="30.90625" style="771" customWidth="1"/>
    <col min="8714" max="8714" width="24.90625" style="771" customWidth="1"/>
    <col min="8715" max="8715" width="27.36328125" style="771" customWidth="1"/>
    <col min="8716" max="8716" width="32" style="771" customWidth="1"/>
    <col min="8717" max="8717" width="25.54296875" style="771" customWidth="1"/>
    <col min="8718" max="8718" width="27.36328125" style="771" customWidth="1"/>
    <col min="8719" max="8719" width="31.453125" style="771" customWidth="1"/>
    <col min="8720" max="8720" width="30.54296875" style="771" customWidth="1"/>
    <col min="8721" max="8721" width="27.36328125" style="771" customWidth="1"/>
    <col min="8722" max="8722" width="32.54296875" style="771" customWidth="1"/>
    <col min="8723" max="8723" width="30.453125" style="771" customWidth="1"/>
    <col min="8724" max="8724" width="24.36328125" style="771" customWidth="1"/>
    <col min="8725" max="8725" width="28" style="771" customWidth="1"/>
    <col min="8726" max="8726" width="19.453125" style="771" customWidth="1"/>
    <col min="8727" max="8963" width="9.08984375" style="771"/>
    <col min="8964" max="8964" width="14.54296875" style="771" customWidth="1"/>
    <col min="8965" max="8965" width="14.453125" style="771" customWidth="1"/>
    <col min="8966" max="8966" width="58.08984375" style="771" customWidth="1"/>
    <col min="8967" max="8967" width="30.453125" style="771" customWidth="1"/>
    <col min="8968" max="8968" width="27.36328125" style="771" customWidth="1"/>
    <col min="8969" max="8969" width="30.90625" style="771" customWidth="1"/>
    <col min="8970" max="8970" width="24.90625" style="771" customWidth="1"/>
    <col min="8971" max="8971" width="27.36328125" style="771" customWidth="1"/>
    <col min="8972" max="8972" width="32" style="771" customWidth="1"/>
    <col min="8973" max="8973" width="25.54296875" style="771" customWidth="1"/>
    <col min="8974" max="8974" width="27.36328125" style="771" customWidth="1"/>
    <col min="8975" max="8975" width="31.453125" style="771" customWidth="1"/>
    <col min="8976" max="8976" width="30.54296875" style="771" customWidth="1"/>
    <col min="8977" max="8977" width="27.36328125" style="771" customWidth="1"/>
    <col min="8978" max="8978" width="32.54296875" style="771" customWidth="1"/>
    <col min="8979" max="8979" width="30.453125" style="771" customWidth="1"/>
    <col min="8980" max="8980" width="24.36328125" style="771" customWidth="1"/>
    <col min="8981" max="8981" width="28" style="771" customWidth="1"/>
    <col min="8982" max="8982" width="19.453125" style="771" customWidth="1"/>
    <col min="8983" max="9219" width="9.08984375" style="771"/>
    <col min="9220" max="9220" width="14.54296875" style="771" customWidth="1"/>
    <col min="9221" max="9221" width="14.453125" style="771" customWidth="1"/>
    <col min="9222" max="9222" width="58.08984375" style="771" customWidth="1"/>
    <col min="9223" max="9223" width="30.453125" style="771" customWidth="1"/>
    <col min="9224" max="9224" width="27.36328125" style="771" customWidth="1"/>
    <col min="9225" max="9225" width="30.90625" style="771" customWidth="1"/>
    <col min="9226" max="9226" width="24.90625" style="771" customWidth="1"/>
    <col min="9227" max="9227" width="27.36328125" style="771" customWidth="1"/>
    <col min="9228" max="9228" width="32" style="771" customWidth="1"/>
    <col min="9229" max="9229" width="25.54296875" style="771" customWidth="1"/>
    <col min="9230" max="9230" width="27.36328125" style="771" customWidth="1"/>
    <col min="9231" max="9231" width="31.453125" style="771" customWidth="1"/>
    <col min="9232" max="9232" width="30.54296875" style="771" customWidth="1"/>
    <col min="9233" max="9233" width="27.36328125" style="771" customWidth="1"/>
    <col min="9234" max="9234" width="32.54296875" style="771" customWidth="1"/>
    <col min="9235" max="9235" width="30.453125" style="771" customWidth="1"/>
    <col min="9236" max="9236" width="24.36328125" style="771" customWidth="1"/>
    <col min="9237" max="9237" width="28" style="771" customWidth="1"/>
    <col min="9238" max="9238" width="19.453125" style="771" customWidth="1"/>
    <col min="9239" max="9475" width="9.08984375" style="771"/>
    <col min="9476" max="9476" width="14.54296875" style="771" customWidth="1"/>
    <col min="9477" max="9477" width="14.453125" style="771" customWidth="1"/>
    <col min="9478" max="9478" width="58.08984375" style="771" customWidth="1"/>
    <col min="9479" max="9479" width="30.453125" style="771" customWidth="1"/>
    <col min="9480" max="9480" width="27.36328125" style="771" customWidth="1"/>
    <col min="9481" max="9481" width="30.90625" style="771" customWidth="1"/>
    <col min="9482" max="9482" width="24.90625" style="771" customWidth="1"/>
    <col min="9483" max="9483" width="27.36328125" style="771" customWidth="1"/>
    <col min="9484" max="9484" width="32" style="771" customWidth="1"/>
    <col min="9485" max="9485" width="25.54296875" style="771" customWidth="1"/>
    <col min="9486" max="9486" width="27.36328125" style="771" customWidth="1"/>
    <col min="9487" max="9487" width="31.453125" style="771" customWidth="1"/>
    <col min="9488" max="9488" width="30.54296875" style="771" customWidth="1"/>
    <col min="9489" max="9489" width="27.36328125" style="771" customWidth="1"/>
    <col min="9490" max="9490" width="32.54296875" style="771" customWidth="1"/>
    <col min="9491" max="9491" width="30.453125" style="771" customWidth="1"/>
    <col min="9492" max="9492" width="24.36328125" style="771" customWidth="1"/>
    <col min="9493" max="9493" width="28" style="771" customWidth="1"/>
    <col min="9494" max="9494" width="19.453125" style="771" customWidth="1"/>
    <col min="9495" max="9731" width="9.08984375" style="771"/>
    <col min="9732" max="9732" width="14.54296875" style="771" customWidth="1"/>
    <col min="9733" max="9733" width="14.453125" style="771" customWidth="1"/>
    <col min="9734" max="9734" width="58.08984375" style="771" customWidth="1"/>
    <col min="9735" max="9735" width="30.453125" style="771" customWidth="1"/>
    <col min="9736" max="9736" width="27.36328125" style="771" customWidth="1"/>
    <col min="9737" max="9737" width="30.90625" style="771" customWidth="1"/>
    <col min="9738" max="9738" width="24.90625" style="771" customWidth="1"/>
    <col min="9739" max="9739" width="27.36328125" style="771" customWidth="1"/>
    <col min="9740" max="9740" width="32" style="771" customWidth="1"/>
    <col min="9741" max="9741" width="25.54296875" style="771" customWidth="1"/>
    <col min="9742" max="9742" width="27.36328125" style="771" customWidth="1"/>
    <col min="9743" max="9743" width="31.453125" style="771" customWidth="1"/>
    <col min="9744" max="9744" width="30.54296875" style="771" customWidth="1"/>
    <col min="9745" max="9745" width="27.36328125" style="771" customWidth="1"/>
    <col min="9746" max="9746" width="32.54296875" style="771" customWidth="1"/>
    <col min="9747" max="9747" width="30.453125" style="771" customWidth="1"/>
    <col min="9748" max="9748" width="24.36328125" style="771" customWidth="1"/>
    <col min="9749" max="9749" width="28" style="771" customWidth="1"/>
    <col min="9750" max="9750" width="19.453125" style="771" customWidth="1"/>
    <col min="9751" max="9987" width="9.08984375" style="771"/>
    <col min="9988" max="9988" width="14.54296875" style="771" customWidth="1"/>
    <col min="9989" max="9989" width="14.453125" style="771" customWidth="1"/>
    <col min="9990" max="9990" width="58.08984375" style="771" customWidth="1"/>
    <col min="9991" max="9991" width="30.453125" style="771" customWidth="1"/>
    <col min="9992" max="9992" width="27.36328125" style="771" customWidth="1"/>
    <col min="9993" max="9993" width="30.90625" style="771" customWidth="1"/>
    <col min="9994" max="9994" width="24.90625" style="771" customWidth="1"/>
    <col min="9995" max="9995" width="27.36328125" style="771" customWidth="1"/>
    <col min="9996" max="9996" width="32" style="771" customWidth="1"/>
    <col min="9997" max="9997" width="25.54296875" style="771" customWidth="1"/>
    <col min="9998" max="9998" width="27.36328125" style="771" customWidth="1"/>
    <col min="9999" max="9999" width="31.453125" style="771" customWidth="1"/>
    <col min="10000" max="10000" width="30.54296875" style="771" customWidth="1"/>
    <col min="10001" max="10001" width="27.36328125" style="771" customWidth="1"/>
    <col min="10002" max="10002" width="32.54296875" style="771" customWidth="1"/>
    <col min="10003" max="10003" width="30.453125" style="771" customWidth="1"/>
    <col min="10004" max="10004" width="24.36328125" style="771" customWidth="1"/>
    <col min="10005" max="10005" width="28" style="771" customWidth="1"/>
    <col min="10006" max="10006" width="19.453125" style="771" customWidth="1"/>
    <col min="10007" max="10243" width="9.08984375" style="771"/>
    <col min="10244" max="10244" width="14.54296875" style="771" customWidth="1"/>
    <col min="10245" max="10245" width="14.453125" style="771" customWidth="1"/>
    <col min="10246" max="10246" width="58.08984375" style="771" customWidth="1"/>
    <col min="10247" max="10247" width="30.453125" style="771" customWidth="1"/>
    <col min="10248" max="10248" width="27.36328125" style="771" customWidth="1"/>
    <col min="10249" max="10249" width="30.90625" style="771" customWidth="1"/>
    <col min="10250" max="10250" width="24.90625" style="771" customWidth="1"/>
    <col min="10251" max="10251" width="27.36328125" style="771" customWidth="1"/>
    <col min="10252" max="10252" width="32" style="771" customWidth="1"/>
    <col min="10253" max="10253" width="25.54296875" style="771" customWidth="1"/>
    <col min="10254" max="10254" width="27.36328125" style="771" customWidth="1"/>
    <col min="10255" max="10255" width="31.453125" style="771" customWidth="1"/>
    <col min="10256" max="10256" width="30.54296875" style="771" customWidth="1"/>
    <col min="10257" max="10257" width="27.36328125" style="771" customWidth="1"/>
    <col min="10258" max="10258" width="32.54296875" style="771" customWidth="1"/>
    <col min="10259" max="10259" width="30.453125" style="771" customWidth="1"/>
    <col min="10260" max="10260" width="24.36328125" style="771" customWidth="1"/>
    <col min="10261" max="10261" width="28" style="771" customWidth="1"/>
    <col min="10262" max="10262" width="19.453125" style="771" customWidth="1"/>
    <col min="10263" max="10499" width="9.08984375" style="771"/>
    <col min="10500" max="10500" width="14.54296875" style="771" customWidth="1"/>
    <col min="10501" max="10501" width="14.453125" style="771" customWidth="1"/>
    <col min="10502" max="10502" width="58.08984375" style="771" customWidth="1"/>
    <col min="10503" max="10503" width="30.453125" style="771" customWidth="1"/>
    <col min="10504" max="10504" width="27.36328125" style="771" customWidth="1"/>
    <col min="10505" max="10505" width="30.90625" style="771" customWidth="1"/>
    <col min="10506" max="10506" width="24.90625" style="771" customWidth="1"/>
    <col min="10507" max="10507" width="27.36328125" style="771" customWidth="1"/>
    <col min="10508" max="10508" width="32" style="771" customWidth="1"/>
    <col min="10509" max="10509" width="25.54296875" style="771" customWidth="1"/>
    <col min="10510" max="10510" width="27.36328125" style="771" customWidth="1"/>
    <col min="10511" max="10511" width="31.453125" style="771" customWidth="1"/>
    <col min="10512" max="10512" width="30.54296875" style="771" customWidth="1"/>
    <col min="10513" max="10513" width="27.36328125" style="771" customWidth="1"/>
    <col min="10514" max="10514" width="32.54296875" style="771" customWidth="1"/>
    <col min="10515" max="10515" width="30.453125" style="771" customWidth="1"/>
    <col min="10516" max="10516" width="24.36328125" style="771" customWidth="1"/>
    <col min="10517" max="10517" width="28" style="771" customWidth="1"/>
    <col min="10518" max="10518" width="19.453125" style="771" customWidth="1"/>
    <col min="10519" max="10755" width="9.08984375" style="771"/>
    <col min="10756" max="10756" width="14.54296875" style="771" customWidth="1"/>
    <col min="10757" max="10757" width="14.453125" style="771" customWidth="1"/>
    <col min="10758" max="10758" width="58.08984375" style="771" customWidth="1"/>
    <col min="10759" max="10759" width="30.453125" style="771" customWidth="1"/>
    <col min="10760" max="10760" width="27.36328125" style="771" customWidth="1"/>
    <col min="10761" max="10761" width="30.90625" style="771" customWidth="1"/>
    <col min="10762" max="10762" width="24.90625" style="771" customWidth="1"/>
    <col min="10763" max="10763" width="27.36328125" style="771" customWidth="1"/>
    <col min="10764" max="10764" width="32" style="771" customWidth="1"/>
    <col min="10765" max="10765" width="25.54296875" style="771" customWidth="1"/>
    <col min="10766" max="10766" width="27.36328125" style="771" customWidth="1"/>
    <col min="10767" max="10767" width="31.453125" style="771" customWidth="1"/>
    <col min="10768" max="10768" width="30.54296875" style="771" customWidth="1"/>
    <col min="10769" max="10769" width="27.36328125" style="771" customWidth="1"/>
    <col min="10770" max="10770" width="32.54296875" style="771" customWidth="1"/>
    <col min="10771" max="10771" width="30.453125" style="771" customWidth="1"/>
    <col min="10772" max="10772" width="24.36328125" style="771" customWidth="1"/>
    <col min="10773" max="10773" width="28" style="771" customWidth="1"/>
    <col min="10774" max="10774" width="19.453125" style="771" customWidth="1"/>
    <col min="10775" max="11011" width="9.08984375" style="771"/>
    <col min="11012" max="11012" width="14.54296875" style="771" customWidth="1"/>
    <col min="11013" max="11013" width="14.453125" style="771" customWidth="1"/>
    <col min="11014" max="11014" width="58.08984375" style="771" customWidth="1"/>
    <col min="11015" max="11015" width="30.453125" style="771" customWidth="1"/>
    <col min="11016" max="11016" width="27.36328125" style="771" customWidth="1"/>
    <col min="11017" max="11017" width="30.90625" style="771" customWidth="1"/>
    <col min="11018" max="11018" width="24.90625" style="771" customWidth="1"/>
    <col min="11019" max="11019" width="27.36328125" style="771" customWidth="1"/>
    <col min="11020" max="11020" width="32" style="771" customWidth="1"/>
    <col min="11021" max="11021" width="25.54296875" style="771" customWidth="1"/>
    <col min="11022" max="11022" width="27.36328125" style="771" customWidth="1"/>
    <col min="11023" max="11023" width="31.453125" style="771" customWidth="1"/>
    <col min="11024" max="11024" width="30.54296875" style="771" customWidth="1"/>
    <col min="11025" max="11025" width="27.36328125" style="771" customWidth="1"/>
    <col min="11026" max="11026" width="32.54296875" style="771" customWidth="1"/>
    <col min="11027" max="11027" width="30.453125" style="771" customWidth="1"/>
    <col min="11028" max="11028" width="24.36328125" style="771" customWidth="1"/>
    <col min="11029" max="11029" width="28" style="771" customWidth="1"/>
    <col min="11030" max="11030" width="19.453125" style="771" customWidth="1"/>
    <col min="11031" max="11267" width="9.08984375" style="771"/>
    <col min="11268" max="11268" width="14.54296875" style="771" customWidth="1"/>
    <col min="11269" max="11269" width="14.453125" style="771" customWidth="1"/>
    <col min="11270" max="11270" width="58.08984375" style="771" customWidth="1"/>
    <col min="11271" max="11271" width="30.453125" style="771" customWidth="1"/>
    <col min="11272" max="11272" width="27.36328125" style="771" customWidth="1"/>
    <col min="11273" max="11273" width="30.90625" style="771" customWidth="1"/>
    <col min="11274" max="11274" width="24.90625" style="771" customWidth="1"/>
    <col min="11275" max="11275" width="27.36328125" style="771" customWidth="1"/>
    <col min="11276" max="11276" width="32" style="771" customWidth="1"/>
    <col min="11277" max="11277" width="25.54296875" style="771" customWidth="1"/>
    <col min="11278" max="11278" width="27.36328125" style="771" customWidth="1"/>
    <col min="11279" max="11279" width="31.453125" style="771" customWidth="1"/>
    <col min="11280" max="11280" width="30.54296875" style="771" customWidth="1"/>
    <col min="11281" max="11281" width="27.36328125" style="771" customWidth="1"/>
    <col min="11282" max="11282" width="32.54296875" style="771" customWidth="1"/>
    <col min="11283" max="11283" width="30.453125" style="771" customWidth="1"/>
    <col min="11284" max="11284" width="24.36328125" style="771" customWidth="1"/>
    <col min="11285" max="11285" width="28" style="771" customWidth="1"/>
    <col min="11286" max="11286" width="19.453125" style="771" customWidth="1"/>
    <col min="11287" max="11523" width="9.08984375" style="771"/>
    <col min="11524" max="11524" width="14.54296875" style="771" customWidth="1"/>
    <col min="11525" max="11525" width="14.453125" style="771" customWidth="1"/>
    <col min="11526" max="11526" width="58.08984375" style="771" customWidth="1"/>
    <col min="11527" max="11527" width="30.453125" style="771" customWidth="1"/>
    <col min="11528" max="11528" width="27.36328125" style="771" customWidth="1"/>
    <col min="11529" max="11529" width="30.90625" style="771" customWidth="1"/>
    <col min="11530" max="11530" width="24.90625" style="771" customWidth="1"/>
    <col min="11531" max="11531" width="27.36328125" style="771" customWidth="1"/>
    <col min="11532" max="11532" width="32" style="771" customWidth="1"/>
    <col min="11533" max="11533" width="25.54296875" style="771" customWidth="1"/>
    <col min="11534" max="11534" width="27.36328125" style="771" customWidth="1"/>
    <col min="11535" max="11535" width="31.453125" style="771" customWidth="1"/>
    <col min="11536" max="11536" width="30.54296875" style="771" customWidth="1"/>
    <col min="11537" max="11537" width="27.36328125" style="771" customWidth="1"/>
    <col min="11538" max="11538" width="32.54296875" style="771" customWidth="1"/>
    <col min="11539" max="11539" width="30.453125" style="771" customWidth="1"/>
    <col min="11540" max="11540" width="24.36328125" style="771" customWidth="1"/>
    <col min="11541" max="11541" width="28" style="771" customWidth="1"/>
    <col min="11542" max="11542" width="19.453125" style="771" customWidth="1"/>
    <col min="11543" max="11779" width="9.08984375" style="771"/>
    <col min="11780" max="11780" width="14.54296875" style="771" customWidth="1"/>
    <col min="11781" max="11781" width="14.453125" style="771" customWidth="1"/>
    <col min="11782" max="11782" width="58.08984375" style="771" customWidth="1"/>
    <col min="11783" max="11783" width="30.453125" style="771" customWidth="1"/>
    <col min="11784" max="11784" width="27.36328125" style="771" customWidth="1"/>
    <col min="11785" max="11785" width="30.90625" style="771" customWidth="1"/>
    <col min="11786" max="11786" width="24.90625" style="771" customWidth="1"/>
    <col min="11787" max="11787" width="27.36328125" style="771" customWidth="1"/>
    <col min="11788" max="11788" width="32" style="771" customWidth="1"/>
    <col min="11789" max="11789" width="25.54296875" style="771" customWidth="1"/>
    <col min="11790" max="11790" width="27.36328125" style="771" customWidth="1"/>
    <col min="11791" max="11791" width="31.453125" style="771" customWidth="1"/>
    <col min="11792" max="11792" width="30.54296875" style="771" customWidth="1"/>
    <col min="11793" max="11793" width="27.36328125" style="771" customWidth="1"/>
    <col min="11794" max="11794" width="32.54296875" style="771" customWidth="1"/>
    <col min="11795" max="11795" width="30.453125" style="771" customWidth="1"/>
    <col min="11796" max="11796" width="24.36328125" style="771" customWidth="1"/>
    <col min="11797" max="11797" width="28" style="771" customWidth="1"/>
    <col min="11798" max="11798" width="19.453125" style="771" customWidth="1"/>
    <col min="11799" max="12035" width="9.08984375" style="771"/>
    <col min="12036" max="12036" width="14.54296875" style="771" customWidth="1"/>
    <col min="12037" max="12037" width="14.453125" style="771" customWidth="1"/>
    <col min="12038" max="12038" width="58.08984375" style="771" customWidth="1"/>
    <col min="12039" max="12039" width="30.453125" style="771" customWidth="1"/>
    <col min="12040" max="12040" width="27.36328125" style="771" customWidth="1"/>
    <col min="12041" max="12041" width="30.90625" style="771" customWidth="1"/>
    <col min="12042" max="12042" width="24.90625" style="771" customWidth="1"/>
    <col min="12043" max="12043" width="27.36328125" style="771" customWidth="1"/>
    <col min="12044" max="12044" width="32" style="771" customWidth="1"/>
    <col min="12045" max="12045" width="25.54296875" style="771" customWidth="1"/>
    <col min="12046" max="12046" width="27.36328125" style="771" customWidth="1"/>
    <col min="12047" max="12047" width="31.453125" style="771" customWidth="1"/>
    <col min="12048" max="12048" width="30.54296875" style="771" customWidth="1"/>
    <col min="12049" max="12049" width="27.36328125" style="771" customWidth="1"/>
    <col min="12050" max="12050" width="32.54296875" style="771" customWidth="1"/>
    <col min="12051" max="12051" width="30.453125" style="771" customWidth="1"/>
    <col min="12052" max="12052" width="24.36328125" style="771" customWidth="1"/>
    <col min="12053" max="12053" width="28" style="771" customWidth="1"/>
    <col min="12054" max="12054" width="19.453125" style="771" customWidth="1"/>
    <col min="12055" max="12291" width="9.08984375" style="771"/>
    <col min="12292" max="12292" width="14.54296875" style="771" customWidth="1"/>
    <col min="12293" max="12293" width="14.453125" style="771" customWidth="1"/>
    <col min="12294" max="12294" width="58.08984375" style="771" customWidth="1"/>
    <col min="12295" max="12295" width="30.453125" style="771" customWidth="1"/>
    <col min="12296" max="12296" width="27.36328125" style="771" customWidth="1"/>
    <col min="12297" max="12297" width="30.90625" style="771" customWidth="1"/>
    <col min="12298" max="12298" width="24.90625" style="771" customWidth="1"/>
    <col min="12299" max="12299" width="27.36328125" style="771" customWidth="1"/>
    <col min="12300" max="12300" width="32" style="771" customWidth="1"/>
    <col min="12301" max="12301" width="25.54296875" style="771" customWidth="1"/>
    <col min="12302" max="12302" width="27.36328125" style="771" customWidth="1"/>
    <col min="12303" max="12303" width="31.453125" style="771" customWidth="1"/>
    <col min="12304" max="12304" width="30.54296875" style="771" customWidth="1"/>
    <col min="12305" max="12305" width="27.36328125" style="771" customWidth="1"/>
    <col min="12306" max="12306" width="32.54296875" style="771" customWidth="1"/>
    <col min="12307" max="12307" width="30.453125" style="771" customWidth="1"/>
    <col min="12308" max="12308" width="24.36328125" style="771" customWidth="1"/>
    <col min="12309" max="12309" width="28" style="771" customWidth="1"/>
    <col min="12310" max="12310" width="19.453125" style="771" customWidth="1"/>
    <col min="12311" max="12547" width="9.08984375" style="771"/>
    <col min="12548" max="12548" width="14.54296875" style="771" customWidth="1"/>
    <col min="12549" max="12549" width="14.453125" style="771" customWidth="1"/>
    <col min="12550" max="12550" width="58.08984375" style="771" customWidth="1"/>
    <col min="12551" max="12551" width="30.453125" style="771" customWidth="1"/>
    <col min="12552" max="12552" width="27.36328125" style="771" customWidth="1"/>
    <col min="12553" max="12553" width="30.90625" style="771" customWidth="1"/>
    <col min="12554" max="12554" width="24.90625" style="771" customWidth="1"/>
    <col min="12555" max="12555" width="27.36328125" style="771" customWidth="1"/>
    <col min="12556" max="12556" width="32" style="771" customWidth="1"/>
    <col min="12557" max="12557" width="25.54296875" style="771" customWidth="1"/>
    <col min="12558" max="12558" width="27.36328125" style="771" customWidth="1"/>
    <col min="12559" max="12559" width="31.453125" style="771" customWidth="1"/>
    <col min="12560" max="12560" width="30.54296875" style="771" customWidth="1"/>
    <col min="12561" max="12561" width="27.36328125" style="771" customWidth="1"/>
    <col min="12562" max="12562" width="32.54296875" style="771" customWidth="1"/>
    <col min="12563" max="12563" width="30.453125" style="771" customWidth="1"/>
    <col min="12564" max="12564" width="24.36328125" style="771" customWidth="1"/>
    <col min="12565" max="12565" width="28" style="771" customWidth="1"/>
    <col min="12566" max="12566" width="19.453125" style="771" customWidth="1"/>
    <col min="12567" max="12803" width="9.08984375" style="771"/>
    <col min="12804" max="12804" width="14.54296875" style="771" customWidth="1"/>
    <col min="12805" max="12805" width="14.453125" style="771" customWidth="1"/>
    <col min="12806" max="12806" width="58.08984375" style="771" customWidth="1"/>
    <col min="12807" max="12807" width="30.453125" style="771" customWidth="1"/>
    <col min="12808" max="12808" width="27.36328125" style="771" customWidth="1"/>
    <col min="12809" max="12809" width="30.90625" style="771" customWidth="1"/>
    <col min="12810" max="12810" width="24.90625" style="771" customWidth="1"/>
    <col min="12811" max="12811" width="27.36328125" style="771" customWidth="1"/>
    <col min="12812" max="12812" width="32" style="771" customWidth="1"/>
    <col min="12813" max="12813" width="25.54296875" style="771" customWidth="1"/>
    <col min="12814" max="12814" width="27.36328125" style="771" customWidth="1"/>
    <col min="12815" max="12815" width="31.453125" style="771" customWidth="1"/>
    <col min="12816" max="12816" width="30.54296875" style="771" customWidth="1"/>
    <col min="12817" max="12817" width="27.36328125" style="771" customWidth="1"/>
    <col min="12818" max="12818" width="32.54296875" style="771" customWidth="1"/>
    <col min="12819" max="12819" width="30.453125" style="771" customWidth="1"/>
    <col min="12820" max="12820" width="24.36328125" style="771" customWidth="1"/>
    <col min="12821" max="12821" width="28" style="771" customWidth="1"/>
    <col min="12822" max="12822" width="19.453125" style="771" customWidth="1"/>
    <col min="12823" max="13059" width="9.08984375" style="771"/>
    <col min="13060" max="13060" width="14.54296875" style="771" customWidth="1"/>
    <col min="13061" max="13061" width="14.453125" style="771" customWidth="1"/>
    <col min="13062" max="13062" width="58.08984375" style="771" customWidth="1"/>
    <col min="13063" max="13063" width="30.453125" style="771" customWidth="1"/>
    <col min="13064" max="13064" width="27.36328125" style="771" customWidth="1"/>
    <col min="13065" max="13065" width="30.90625" style="771" customWidth="1"/>
    <col min="13066" max="13066" width="24.90625" style="771" customWidth="1"/>
    <col min="13067" max="13067" width="27.36328125" style="771" customWidth="1"/>
    <col min="13068" max="13068" width="32" style="771" customWidth="1"/>
    <col min="13069" max="13069" width="25.54296875" style="771" customWidth="1"/>
    <col min="13070" max="13070" width="27.36328125" style="771" customWidth="1"/>
    <col min="13071" max="13071" width="31.453125" style="771" customWidth="1"/>
    <col min="13072" max="13072" width="30.54296875" style="771" customWidth="1"/>
    <col min="13073" max="13073" width="27.36328125" style="771" customWidth="1"/>
    <col min="13074" max="13074" width="32.54296875" style="771" customWidth="1"/>
    <col min="13075" max="13075" width="30.453125" style="771" customWidth="1"/>
    <col min="13076" max="13076" width="24.36328125" style="771" customWidth="1"/>
    <col min="13077" max="13077" width="28" style="771" customWidth="1"/>
    <col min="13078" max="13078" width="19.453125" style="771" customWidth="1"/>
    <col min="13079" max="13315" width="9.08984375" style="771"/>
    <col min="13316" max="13316" width="14.54296875" style="771" customWidth="1"/>
    <col min="13317" max="13317" width="14.453125" style="771" customWidth="1"/>
    <col min="13318" max="13318" width="58.08984375" style="771" customWidth="1"/>
    <col min="13319" max="13319" width="30.453125" style="771" customWidth="1"/>
    <col min="13320" max="13320" width="27.36328125" style="771" customWidth="1"/>
    <col min="13321" max="13321" width="30.90625" style="771" customWidth="1"/>
    <col min="13322" max="13322" width="24.90625" style="771" customWidth="1"/>
    <col min="13323" max="13323" width="27.36328125" style="771" customWidth="1"/>
    <col min="13324" max="13324" width="32" style="771" customWidth="1"/>
    <col min="13325" max="13325" width="25.54296875" style="771" customWidth="1"/>
    <col min="13326" max="13326" width="27.36328125" style="771" customWidth="1"/>
    <col min="13327" max="13327" width="31.453125" style="771" customWidth="1"/>
    <col min="13328" max="13328" width="30.54296875" style="771" customWidth="1"/>
    <col min="13329" max="13329" width="27.36328125" style="771" customWidth="1"/>
    <col min="13330" max="13330" width="32.54296875" style="771" customWidth="1"/>
    <col min="13331" max="13331" width="30.453125" style="771" customWidth="1"/>
    <col min="13332" max="13332" width="24.36328125" style="771" customWidth="1"/>
    <col min="13333" max="13333" width="28" style="771" customWidth="1"/>
    <col min="13334" max="13334" width="19.453125" style="771" customWidth="1"/>
    <col min="13335" max="13571" width="9.08984375" style="771"/>
    <col min="13572" max="13572" width="14.54296875" style="771" customWidth="1"/>
    <col min="13573" max="13573" width="14.453125" style="771" customWidth="1"/>
    <col min="13574" max="13574" width="58.08984375" style="771" customWidth="1"/>
    <col min="13575" max="13575" width="30.453125" style="771" customWidth="1"/>
    <col min="13576" max="13576" width="27.36328125" style="771" customWidth="1"/>
    <col min="13577" max="13577" width="30.90625" style="771" customWidth="1"/>
    <col min="13578" max="13578" width="24.90625" style="771" customWidth="1"/>
    <col min="13579" max="13579" width="27.36328125" style="771" customWidth="1"/>
    <col min="13580" max="13580" width="32" style="771" customWidth="1"/>
    <col min="13581" max="13581" width="25.54296875" style="771" customWidth="1"/>
    <col min="13582" max="13582" width="27.36328125" style="771" customWidth="1"/>
    <col min="13583" max="13583" width="31.453125" style="771" customWidth="1"/>
    <col min="13584" max="13584" width="30.54296875" style="771" customWidth="1"/>
    <col min="13585" max="13585" width="27.36328125" style="771" customWidth="1"/>
    <col min="13586" max="13586" width="32.54296875" style="771" customWidth="1"/>
    <col min="13587" max="13587" width="30.453125" style="771" customWidth="1"/>
    <col min="13588" max="13588" width="24.36328125" style="771" customWidth="1"/>
    <col min="13589" max="13589" width="28" style="771" customWidth="1"/>
    <col min="13590" max="13590" width="19.453125" style="771" customWidth="1"/>
    <col min="13591" max="13827" width="9.08984375" style="771"/>
    <col min="13828" max="13828" width="14.54296875" style="771" customWidth="1"/>
    <col min="13829" max="13829" width="14.453125" style="771" customWidth="1"/>
    <col min="13830" max="13830" width="58.08984375" style="771" customWidth="1"/>
    <col min="13831" max="13831" width="30.453125" style="771" customWidth="1"/>
    <col min="13832" max="13832" width="27.36328125" style="771" customWidth="1"/>
    <col min="13833" max="13833" width="30.90625" style="771" customWidth="1"/>
    <col min="13834" max="13834" width="24.90625" style="771" customWidth="1"/>
    <col min="13835" max="13835" width="27.36328125" style="771" customWidth="1"/>
    <col min="13836" max="13836" width="32" style="771" customWidth="1"/>
    <col min="13837" max="13837" width="25.54296875" style="771" customWidth="1"/>
    <col min="13838" max="13838" width="27.36328125" style="771" customWidth="1"/>
    <col min="13839" max="13839" width="31.453125" style="771" customWidth="1"/>
    <col min="13840" max="13840" width="30.54296875" style="771" customWidth="1"/>
    <col min="13841" max="13841" width="27.36328125" style="771" customWidth="1"/>
    <col min="13842" max="13842" width="32.54296875" style="771" customWidth="1"/>
    <col min="13843" max="13843" width="30.453125" style="771" customWidth="1"/>
    <col min="13844" max="13844" width="24.36328125" style="771" customWidth="1"/>
    <col min="13845" max="13845" width="28" style="771" customWidth="1"/>
    <col min="13846" max="13846" width="19.453125" style="771" customWidth="1"/>
    <col min="13847" max="14083" width="9.08984375" style="771"/>
    <col min="14084" max="14084" width="14.54296875" style="771" customWidth="1"/>
    <col min="14085" max="14085" width="14.453125" style="771" customWidth="1"/>
    <col min="14086" max="14086" width="58.08984375" style="771" customWidth="1"/>
    <col min="14087" max="14087" width="30.453125" style="771" customWidth="1"/>
    <col min="14088" max="14088" width="27.36328125" style="771" customWidth="1"/>
    <col min="14089" max="14089" width="30.90625" style="771" customWidth="1"/>
    <col min="14090" max="14090" width="24.90625" style="771" customWidth="1"/>
    <col min="14091" max="14091" width="27.36328125" style="771" customWidth="1"/>
    <col min="14092" max="14092" width="32" style="771" customWidth="1"/>
    <col min="14093" max="14093" width="25.54296875" style="771" customWidth="1"/>
    <col min="14094" max="14094" width="27.36328125" style="771" customWidth="1"/>
    <col min="14095" max="14095" width="31.453125" style="771" customWidth="1"/>
    <col min="14096" max="14096" width="30.54296875" style="771" customWidth="1"/>
    <col min="14097" max="14097" width="27.36328125" style="771" customWidth="1"/>
    <col min="14098" max="14098" width="32.54296875" style="771" customWidth="1"/>
    <col min="14099" max="14099" width="30.453125" style="771" customWidth="1"/>
    <col min="14100" max="14100" width="24.36328125" style="771" customWidth="1"/>
    <col min="14101" max="14101" width="28" style="771" customWidth="1"/>
    <col min="14102" max="14102" width="19.453125" style="771" customWidth="1"/>
    <col min="14103" max="14339" width="9.08984375" style="771"/>
    <col min="14340" max="14340" width="14.54296875" style="771" customWidth="1"/>
    <col min="14341" max="14341" width="14.453125" style="771" customWidth="1"/>
    <col min="14342" max="14342" width="58.08984375" style="771" customWidth="1"/>
    <col min="14343" max="14343" width="30.453125" style="771" customWidth="1"/>
    <col min="14344" max="14344" width="27.36328125" style="771" customWidth="1"/>
    <col min="14345" max="14345" width="30.90625" style="771" customWidth="1"/>
    <col min="14346" max="14346" width="24.90625" style="771" customWidth="1"/>
    <col min="14347" max="14347" width="27.36328125" style="771" customWidth="1"/>
    <col min="14348" max="14348" width="32" style="771" customWidth="1"/>
    <col min="14349" max="14349" width="25.54296875" style="771" customWidth="1"/>
    <col min="14350" max="14350" width="27.36328125" style="771" customWidth="1"/>
    <col min="14351" max="14351" width="31.453125" style="771" customWidth="1"/>
    <col min="14352" max="14352" width="30.54296875" style="771" customWidth="1"/>
    <col min="14353" max="14353" width="27.36328125" style="771" customWidth="1"/>
    <col min="14354" max="14354" width="32.54296875" style="771" customWidth="1"/>
    <col min="14355" max="14355" width="30.453125" style="771" customWidth="1"/>
    <col min="14356" max="14356" width="24.36328125" style="771" customWidth="1"/>
    <col min="14357" max="14357" width="28" style="771" customWidth="1"/>
    <col min="14358" max="14358" width="19.453125" style="771" customWidth="1"/>
    <col min="14359" max="14595" width="9.08984375" style="771"/>
    <col min="14596" max="14596" width="14.54296875" style="771" customWidth="1"/>
    <col min="14597" max="14597" width="14.453125" style="771" customWidth="1"/>
    <col min="14598" max="14598" width="58.08984375" style="771" customWidth="1"/>
    <col min="14599" max="14599" width="30.453125" style="771" customWidth="1"/>
    <col min="14600" max="14600" width="27.36328125" style="771" customWidth="1"/>
    <col min="14601" max="14601" width="30.90625" style="771" customWidth="1"/>
    <col min="14602" max="14602" width="24.90625" style="771" customWidth="1"/>
    <col min="14603" max="14603" width="27.36328125" style="771" customWidth="1"/>
    <col min="14604" max="14604" width="32" style="771" customWidth="1"/>
    <col min="14605" max="14605" width="25.54296875" style="771" customWidth="1"/>
    <col min="14606" max="14606" width="27.36328125" style="771" customWidth="1"/>
    <col min="14607" max="14607" width="31.453125" style="771" customWidth="1"/>
    <col min="14608" max="14608" width="30.54296875" style="771" customWidth="1"/>
    <col min="14609" max="14609" width="27.36328125" style="771" customWidth="1"/>
    <col min="14610" max="14610" width="32.54296875" style="771" customWidth="1"/>
    <col min="14611" max="14611" width="30.453125" style="771" customWidth="1"/>
    <col min="14612" max="14612" width="24.36328125" style="771" customWidth="1"/>
    <col min="14613" max="14613" width="28" style="771" customWidth="1"/>
    <col min="14614" max="14614" width="19.453125" style="771" customWidth="1"/>
    <col min="14615" max="14851" width="9.08984375" style="771"/>
    <col min="14852" max="14852" width="14.54296875" style="771" customWidth="1"/>
    <col min="14853" max="14853" width="14.453125" style="771" customWidth="1"/>
    <col min="14854" max="14854" width="58.08984375" style="771" customWidth="1"/>
    <col min="14855" max="14855" width="30.453125" style="771" customWidth="1"/>
    <col min="14856" max="14856" width="27.36328125" style="771" customWidth="1"/>
    <col min="14857" max="14857" width="30.90625" style="771" customWidth="1"/>
    <col min="14858" max="14858" width="24.90625" style="771" customWidth="1"/>
    <col min="14859" max="14859" width="27.36328125" style="771" customWidth="1"/>
    <col min="14860" max="14860" width="32" style="771" customWidth="1"/>
    <col min="14861" max="14861" width="25.54296875" style="771" customWidth="1"/>
    <col min="14862" max="14862" width="27.36328125" style="771" customWidth="1"/>
    <col min="14863" max="14863" width="31.453125" style="771" customWidth="1"/>
    <col min="14864" max="14864" width="30.54296875" style="771" customWidth="1"/>
    <col min="14865" max="14865" width="27.36328125" style="771" customWidth="1"/>
    <col min="14866" max="14866" width="32.54296875" style="771" customWidth="1"/>
    <col min="14867" max="14867" width="30.453125" style="771" customWidth="1"/>
    <col min="14868" max="14868" width="24.36328125" style="771" customWidth="1"/>
    <col min="14869" max="14869" width="28" style="771" customWidth="1"/>
    <col min="14870" max="14870" width="19.453125" style="771" customWidth="1"/>
    <col min="14871" max="15107" width="9.08984375" style="771"/>
    <col min="15108" max="15108" width="14.54296875" style="771" customWidth="1"/>
    <col min="15109" max="15109" width="14.453125" style="771" customWidth="1"/>
    <col min="15110" max="15110" width="58.08984375" style="771" customWidth="1"/>
    <col min="15111" max="15111" width="30.453125" style="771" customWidth="1"/>
    <col min="15112" max="15112" width="27.36328125" style="771" customWidth="1"/>
    <col min="15113" max="15113" width="30.90625" style="771" customWidth="1"/>
    <col min="15114" max="15114" width="24.90625" style="771" customWidth="1"/>
    <col min="15115" max="15115" width="27.36328125" style="771" customWidth="1"/>
    <col min="15116" max="15116" width="32" style="771" customWidth="1"/>
    <col min="15117" max="15117" width="25.54296875" style="771" customWidth="1"/>
    <col min="15118" max="15118" width="27.36328125" style="771" customWidth="1"/>
    <col min="15119" max="15119" width="31.453125" style="771" customWidth="1"/>
    <col min="15120" max="15120" width="30.54296875" style="771" customWidth="1"/>
    <col min="15121" max="15121" width="27.36328125" style="771" customWidth="1"/>
    <col min="15122" max="15122" width="32.54296875" style="771" customWidth="1"/>
    <col min="15123" max="15123" width="30.453125" style="771" customWidth="1"/>
    <col min="15124" max="15124" width="24.36328125" style="771" customWidth="1"/>
    <col min="15125" max="15125" width="28" style="771" customWidth="1"/>
    <col min="15126" max="15126" width="19.453125" style="771" customWidth="1"/>
    <col min="15127" max="15363" width="9.08984375" style="771"/>
    <col min="15364" max="15364" width="14.54296875" style="771" customWidth="1"/>
    <col min="15365" max="15365" width="14.453125" style="771" customWidth="1"/>
    <col min="15366" max="15366" width="58.08984375" style="771" customWidth="1"/>
    <col min="15367" max="15367" width="30.453125" style="771" customWidth="1"/>
    <col min="15368" max="15368" width="27.36328125" style="771" customWidth="1"/>
    <col min="15369" max="15369" width="30.90625" style="771" customWidth="1"/>
    <col min="15370" max="15370" width="24.90625" style="771" customWidth="1"/>
    <col min="15371" max="15371" width="27.36328125" style="771" customWidth="1"/>
    <col min="15372" max="15372" width="32" style="771" customWidth="1"/>
    <col min="15373" max="15373" width="25.54296875" style="771" customWidth="1"/>
    <col min="15374" max="15374" width="27.36328125" style="771" customWidth="1"/>
    <col min="15375" max="15375" width="31.453125" style="771" customWidth="1"/>
    <col min="15376" max="15376" width="30.54296875" style="771" customWidth="1"/>
    <col min="15377" max="15377" width="27.36328125" style="771" customWidth="1"/>
    <col min="15378" max="15378" width="32.54296875" style="771" customWidth="1"/>
    <col min="15379" max="15379" width="30.453125" style="771" customWidth="1"/>
    <col min="15380" max="15380" width="24.36328125" style="771" customWidth="1"/>
    <col min="15381" max="15381" width="28" style="771" customWidth="1"/>
    <col min="15382" max="15382" width="19.453125" style="771" customWidth="1"/>
    <col min="15383" max="15619" width="9.08984375" style="771"/>
    <col min="15620" max="15620" width="14.54296875" style="771" customWidth="1"/>
    <col min="15621" max="15621" width="14.453125" style="771" customWidth="1"/>
    <col min="15622" max="15622" width="58.08984375" style="771" customWidth="1"/>
    <col min="15623" max="15623" width="30.453125" style="771" customWidth="1"/>
    <col min="15624" max="15624" width="27.36328125" style="771" customWidth="1"/>
    <col min="15625" max="15625" width="30.90625" style="771" customWidth="1"/>
    <col min="15626" max="15626" width="24.90625" style="771" customWidth="1"/>
    <col min="15627" max="15627" width="27.36328125" style="771" customWidth="1"/>
    <col min="15628" max="15628" width="32" style="771" customWidth="1"/>
    <col min="15629" max="15629" width="25.54296875" style="771" customWidth="1"/>
    <col min="15630" max="15630" width="27.36328125" style="771" customWidth="1"/>
    <col min="15631" max="15631" width="31.453125" style="771" customWidth="1"/>
    <col min="15632" max="15632" width="30.54296875" style="771" customWidth="1"/>
    <col min="15633" max="15633" width="27.36328125" style="771" customWidth="1"/>
    <col min="15634" max="15634" width="32.54296875" style="771" customWidth="1"/>
    <col min="15635" max="15635" width="30.453125" style="771" customWidth="1"/>
    <col min="15636" max="15636" width="24.36328125" style="771" customWidth="1"/>
    <col min="15637" max="15637" width="28" style="771" customWidth="1"/>
    <col min="15638" max="15638" width="19.453125" style="771" customWidth="1"/>
    <col min="15639" max="15875" width="9.08984375" style="771"/>
    <col min="15876" max="15876" width="14.54296875" style="771" customWidth="1"/>
    <col min="15877" max="15877" width="14.453125" style="771" customWidth="1"/>
    <col min="15878" max="15878" width="58.08984375" style="771" customWidth="1"/>
    <col min="15879" max="15879" width="30.453125" style="771" customWidth="1"/>
    <col min="15880" max="15880" width="27.36328125" style="771" customWidth="1"/>
    <col min="15881" max="15881" width="30.90625" style="771" customWidth="1"/>
    <col min="15882" max="15882" width="24.90625" style="771" customWidth="1"/>
    <col min="15883" max="15883" width="27.36328125" style="771" customWidth="1"/>
    <col min="15884" max="15884" width="32" style="771" customWidth="1"/>
    <col min="15885" max="15885" width="25.54296875" style="771" customWidth="1"/>
    <col min="15886" max="15886" width="27.36328125" style="771" customWidth="1"/>
    <col min="15887" max="15887" width="31.453125" style="771" customWidth="1"/>
    <col min="15888" max="15888" width="30.54296875" style="771" customWidth="1"/>
    <col min="15889" max="15889" width="27.36328125" style="771" customWidth="1"/>
    <col min="15890" max="15890" width="32.54296875" style="771" customWidth="1"/>
    <col min="15891" max="15891" width="30.453125" style="771" customWidth="1"/>
    <col min="15892" max="15892" width="24.36328125" style="771" customWidth="1"/>
    <col min="15893" max="15893" width="28" style="771" customWidth="1"/>
    <col min="15894" max="15894" width="19.453125" style="771" customWidth="1"/>
    <col min="15895" max="16131" width="9.08984375" style="771"/>
    <col min="16132" max="16132" width="14.54296875" style="771" customWidth="1"/>
    <col min="16133" max="16133" width="14.453125" style="771" customWidth="1"/>
    <col min="16134" max="16134" width="58.08984375" style="771" customWidth="1"/>
    <col min="16135" max="16135" width="30.453125" style="771" customWidth="1"/>
    <col min="16136" max="16136" width="27.36328125" style="771" customWidth="1"/>
    <col min="16137" max="16137" width="30.90625" style="771" customWidth="1"/>
    <col min="16138" max="16138" width="24.90625" style="771" customWidth="1"/>
    <col min="16139" max="16139" width="27.36328125" style="771" customWidth="1"/>
    <col min="16140" max="16140" width="32" style="771" customWidth="1"/>
    <col min="16141" max="16141" width="25.54296875" style="771" customWidth="1"/>
    <col min="16142" max="16142" width="27.36328125" style="771" customWidth="1"/>
    <col min="16143" max="16143" width="31.453125" style="771" customWidth="1"/>
    <col min="16144" max="16144" width="30.54296875" style="771" customWidth="1"/>
    <col min="16145" max="16145" width="27.36328125" style="771" customWidth="1"/>
    <col min="16146" max="16146" width="32.54296875" style="771" customWidth="1"/>
    <col min="16147" max="16147" width="30.453125" style="771" customWidth="1"/>
    <col min="16148" max="16148" width="24.36328125" style="771" customWidth="1"/>
    <col min="16149" max="16149" width="28" style="771" customWidth="1"/>
    <col min="16150" max="16150" width="19.453125" style="771" customWidth="1"/>
    <col min="16151" max="16384" width="9.08984375" style="771"/>
  </cols>
  <sheetData>
    <row r="1" spans="2:21" x14ac:dyDescent="0.3">
      <c r="C1" s="828"/>
      <c r="D1" s="770"/>
      <c r="E1" s="770"/>
      <c r="F1" s="770"/>
      <c r="G1" s="770"/>
      <c r="K1" s="770"/>
      <c r="L1" s="770"/>
      <c r="M1" s="770"/>
    </row>
    <row r="2" spans="2:21" s="661" customFormat="1" x14ac:dyDescent="0.3">
      <c r="B2" s="22"/>
      <c r="C2" s="814"/>
      <c r="D2" s="22"/>
      <c r="E2" s="22"/>
      <c r="F2" s="22"/>
      <c r="G2" s="22"/>
      <c r="H2" s="693"/>
      <c r="L2" s="661" t="str">
        <f>Index!B2</f>
        <v xml:space="preserve">      Maharashtra State Power Generation Company Ltd.</v>
      </c>
    </row>
    <row r="3" spans="2:21" s="661" customFormat="1" x14ac:dyDescent="0.3">
      <c r="B3" s="813"/>
      <c r="C3" s="814"/>
      <c r="D3" s="762"/>
      <c r="E3" s="762"/>
      <c r="F3" s="762"/>
      <c r="G3" s="762"/>
      <c r="H3" s="697" t="str">
        <f>Index!B2</f>
        <v xml:space="preserve">      Maharashtra State Power Generation Company Ltd.</v>
      </c>
    </row>
    <row r="4" spans="2:21" s="661" customFormat="1" ht="15" customHeight="1" x14ac:dyDescent="0.3">
      <c r="B4" s="813"/>
      <c r="C4" s="814"/>
      <c r="D4" s="762"/>
      <c r="E4" s="762"/>
      <c r="F4" s="762"/>
      <c r="G4" s="762"/>
      <c r="H4" s="697" t="s">
        <v>1145</v>
      </c>
    </row>
    <row r="5" spans="2:21" ht="15" customHeight="1" x14ac:dyDescent="0.3">
      <c r="U5" s="830" t="s">
        <v>10</v>
      </c>
    </row>
    <row r="6" spans="2:21" s="773" customFormat="1" x14ac:dyDescent="0.3">
      <c r="B6" s="1721" t="s">
        <v>343</v>
      </c>
      <c r="C6" s="1721" t="s">
        <v>1146</v>
      </c>
      <c r="D6" s="1726" t="s">
        <v>1147</v>
      </c>
      <c r="E6" s="1727"/>
      <c r="F6" s="1727"/>
      <c r="G6" s="1727"/>
      <c r="H6" s="1727"/>
      <c r="I6" s="1727"/>
      <c r="J6" s="1727"/>
      <c r="K6" s="1727"/>
      <c r="L6" s="1727"/>
      <c r="M6" s="1727"/>
      <c r="N6" s="1727"/>
      <c r="O6" s="1727"/>
      <c r="P6" s="1727"/>
      <c r="Q6" s="1727"/>
      <c r="R6" s="1727"/>
      <c r="S6" s="1728"/>
      <c r="T6" s="1729" t="s">
        <v>1148</v>
      </c>
      <c r="U6" s="1732" t="s">
        <v>1149</v>
      </c>
    </row>
    <row r="7" spans="2:21" s="831" customFormat="1" x14ac:dyDescent="0.25">
      <c r="B7" s="1722"/>
      <c r="C7" s="1722"/>
      <c r="D7" s="1735" t="s">
        <v>1150</v>
      </c>
      <c r="E7" s="1735"/>
      <c r="F7" s="1735"/>
      <c r="G7" s="1735"/>
      <c r="H7" s="1735" t="s">
        <v>1151</v>
      </c>
      <c r="I7" s="1735"/>
      <c r="J7" s="1735"/>
      <c r="K7" s="1735" t="s">
        <v>1151</v>
      </c>
      <c r="L7" s="1735"/>
      <c r="M7" s="1735"/>
      <c r="N7" s="1735" t="s">
        <v>1152</v>
      </c>
      <c r="O7" s="1735"/>
      <c r="P7" s="1735"/>
      <c r="Q7" s="1735" t="s">
        <v>1153</v>
      </c>
      <c r="R7" s="1735"/>
      <c r="S7" s="1735"/>
      <c r="T7" s="1730"/>
      <c r="U7" s="1733"/>
    </row>
    <row r="8" spans="2:21" s="833" customFormat="1" ht="70" x14ac:dyDescent="0.25">
      <c r="B8" s="1723"/>
      <c r="C8" s="1722"/>
      <c r="D8" s="832" t="s">
        <v>1154</v>
      </c>
      <c r="E8" s="832" t="s">
        <v>1155</v>
      </c>
      <c r="F8" s="832" t="s">
        <v>1156</v>
      </c>
      <c r="G8" s="832" t="s">
        <v>1157</v>
      </c>
      <c r="H8" s="832" t="s">
        <v>1155</v>
      </c>
      <c r="I8" s="832" t="s">
        <v>1156</v>
      </c>
      <c r="J8" s="832" t="s">
        <v>1157</v>
      </c>
      <c r="K8" s="832" t="s">
        <v>1155</v>
      </c>
      <c r="L8" s="832" t="s">
        <v>1156</v>
      </c>
      <c r="M8" s="832" t="s">
        <v>1157</v>
      </c>
      <c r="N8" s="832" t="s">
        <v>24</v>
      </c>
      <c r="O8" s="832" t="s">
        <v>24</v>
      </c>
      <c r="P8" s="832" t="s">
        <v>24</v>
      </c>
      <c r="Q8" s="832" t="s">
        <v>1155</v>
      </c>
      <c r="R8" s="832" t="s">
        <v>1156</v>
      </c>
      <c r="S8" s="832" t="s">
        <v>1157</v>
      </c>
      <c r="T8" s="1731"/>
      <c r="U8" s="1733"/>
    </row>
    <row r="9" spans="2:21" s="833" customFormat="1" x14ac:dyDescent="0.25">
      <c r="B9" s="1724"/>
      <c r="C9" s="1725"/>
      <c r="D9" s="832"/>
      <c r="E9" s="832" t="s">
        <v>81</v>
      </c>
      <c r="F9" s="832" t="s">
        <v>82</v>
      </c>
      <c r="G9" s="832" t="s">
        <v>1158</v>
      </c>
      <c r="H9" s="832" t="s">
        <v>397</v>
      </c>
      <c r="I9" s="832" t="s">
        <v>414</v>
      </c>
      <c r="J9" s="832" t="s">
        <v>1159</v>
      </c>
      <c r="K9" s="832" t="s">
        <v>415</v>
      </c>
      <c r="L9" s="832" t="s">
        <v>416</v>
      </c>
      <c r="M9" s="832" t="s">
        <v>1160</v>
      </c>
      <c r="N9" s="832"/>
      <c r="O9" s="832"/>
      <c r="P9" s="832"/>
      <c r="Q9" s="832" t="s">
        <v>1161</v>
      </c>
      <c r="R9" s="832" t="s">
        <v>1162</v>
      </c>
      <c r="S9" s="832" t="s">
        <v>1163</v>
      </c>
      <c r="T9" s="834" t="s">
        <v>1164</v>
      </c>
      <c r="U9" s="1734"/>
    </row>
    <row r="10" spans="2:21" s="782" customFormat="1" x14ac:dyDescent="0.3">
      <c r="B10" s="835">
        <v>1</v>
      </c>
      <c r="C10" s="836" t="s">
        <v>1165</v>
      </c>
      <c r="D10" s="1712" t="s">
        <v>1041</v>
      </c>
      <c r="E10" s="1713"/>
      <c r="F10" s="1713"/>
      <c r="G10" s="1713"/>
      <c r="H10" s="1713"/>
      <c r="I10" s="1713"/>
      <c r="J10" s="1713"/>
      <c r="K10" s="1713"/>
      <c r="L10" s="1713"/>
      <c r="M10" s="1713"/>
      <c r="N10" s="1713"/>
      <c r="O10" s="1713"/>
      <c r="P10" s="1713"/>
      <c r="Q10" s="1713"/>
      <c r="R10" s="1713"/>
      <c r="S10" s="1713"/>
      <c r="T10" s="1713"/>
      <c r="U10" s="1714"/>
    </row>
    <row r="11" spans="2:21" x14ac:dyDescent="0.3">
      <c r="B11" s="837">
        <v>1.1000000000000001</v>
      </c>
      <c r="C11" s="838" t="s">
        <v>1166</v>
      </c>
      <c r="D11" s="1715"/>
      <c r="E11" s="1716"/>
      <c r="F11" s="1716"/>
      <c r="G11" s="1716"/>
      <c r="H11" s="1716"/>
      <c r="I11" s="1716"/>
      <c r="J11" s="1716"/>
      <c r="K11" s="1716"/>
      <c r="L11" s="1716"/>
      <c r="M11" s="1716"/>
      <c r="N11" s="1716"/>
      <c r="O11" s="1716"/>
      <c r="P11" s="1716"/>
      <c r="Q11" s="1716"/>
      <c r="R11" s="1716"/>
      <c r="S11" s="1716"/>
      <c r="T11" s="1716"/>
      <c r="U11" s="1717"/>
    </row>
    <row r="12" spans="2:21" x14ac:dyDescent="0.3">
      <c r="B12" s="837">
        <v>1.2</v>
      </c>
      <c r="C12" s="839" t="s">
        <v>1167</v>
      </c>
      <c r="D12" s="1715"/>
      <c r="E12" s="1716"/>
      <c r="F12" s="1716"/>
      <c r="G12" s="1716"/>
      <c r="H12" s="1716"/>
      <c r="I12" s="1716"/>
      <c r="J12" s="1716"/>
      <c r="K12" s="1716"/>
      <c r="L12" s="1716"/>
      <c r="M12" s="1716"/>
      <c r="N12" s="1716"/>
      <c r="O12" s="1716"/>
      <c r="P12" s="1716"/>
      <c r="Q12" s="1716"/>
      <c r="R12" s="1716"/>
      <c r="S12" s="1716"/>
      <c r="T12" s="1716"/>
      <c r="U12" s="1717"/>
    </row>
    <row r="13" spans="2:21" x14ac:dyDescent="0.3">
      <c r="B13" s="840">
        <v>1.3</v>
      </c>
      <c r="C13" s="839" t="s">
        <v>1168</v>
      </c>
      <c r="D13" s="1715"/>
      <c r="E13" s="1716"/>
      <c r="F13" s="1716"/>
      <c r="G13" s="1716"/>
      <c r="H13" s="1716"/>
      <c r="I13" s="1716"/>
      <c r="J13" s="1716"/>
      <c r="K13" s="1716"/>
      <c r="L13" s="1716"/>
      <c r="M13" s="1716"/>
      <c r="N13" s="1716"/>
      <c r="O13" s="1716"/>
      <c r="P13" s="1716"/>
      <c r="Q13" s="1716"/>
      <c r="R13" s="1716"/>
      <c r="S13" s="1716"/>
      <c r="T13" s="1716"/>
      <c r="U13" s="1717"/>
    </row>
    <row r="14" spans="2:21" s="782" customFormat="1" x14ac:dyDescent="0.3">
      <c r="B14" s="841"/>
      <c r="C14" s="842" t="s">
        <v>1169</v>
      </c>
      <c r="D14" s="1715"/>
      <c r="E14" s="1716"/>
      <c r="F14" s="1716"/>
      <c r="G14" s="1716"/>
      <c r="H14" s="1716"/>
      <c r="I14" s="1716"/>
      <c r="J14" s="1716"/>
      <c r="K14" s="1716"/>
      <c r="L14" s="1716"/>
      <c r="M14" s="1716"/>
      <c r="N14" s="1716"/>
      <c r="O14" s="1716"/>
      <c r="P14" s="1716"/>
      <c r="Q14" s="1716"/>
      <c r="R14" s="1716"/>
      <c r="S14" s="1716"/>
      <c r="T14" s="1716"/>
      <c r="U14" s="1717"/>
    </row>
    <row r="15" spans="2:21" s="782" customFormat="1" x14ac:dyDescent="0.3">
      <c r="B15" s="841"/>
      <c r="C15" s="842"/>
      <c r="D15" s="1715"/>
      <c r="E15" s="1716"/>
      <c r="F15" s="1716"/>
      <c r="G15" s="1716"/>
      <c r="H15" s="1716"/>
      <c r="I15" s="1716"/>
      <c r="J15" s="1716"/>
      <c r="K15" s="1716"/>
      <c r="L15" s="1716"/>
      <c r="M15" s="1716"/>
      <c r="N15" s="1716"/>
      <c r="O15" s="1716"/>
      <c r="P15" s="1716"/>
      <c r="Q15" s="1716"/>
      <c r="R15" s="1716"/>
      <c r="S15" s="1716"/>
      <c r="T15" s="1716"/>
      <c r="U15" s="1717"/>
    </row>
    <row r="16" spans="2:21" s="782" customFormat="1" x14ac:dyDescent="0.3">
      <c r="B16" s="843">
        <v>2</v>
      </c>
      <c r="C16" s="842" t="s">
        <v>1170</v>
      </c>
      <c r="D16" s="1715"/>
      <c r="E16" s="1716"/>
      <c r="F16" s="1716"/>
      <c r="G16" s="1716"/>
      <c r="H16" s="1716"/>
      <c r="I16" s="1716"/>
      <c r="J16" s="1716"/>
      <c r="K16" s="1716"/>
      <c r="L16" s="1716"/>
      <c r="M16" s="1716"/>
      <c r="N16" s="1716"/>
      <c r="O16" s="1716"/>
      <c r="P16" s="1716"/>
      <c r="Q16" s="1716"/>
      <c r="R16" s="1716"/>
      <c r="S16" s="1716"/>
      <c r="T16" s="1716"/>
      <c r="U16" s="1717"/>
    </row>
    <row r="17" spans="2:22" s="782" customFormat="1" x14ac:dyDescent="0.3">
      <c r="B17" s="843">
        <v>2.1</v>
      </c>
      <c r="C17" s="842" t="s">
        <v>1171</v>
      </c>
      <c r="D17" s="1715"/>
      <c r="E17" s="1716"/>
      <c r="F17" s="1716"/>
      <c r="G17" s="1716"/>
      <c r="H17" s="1716"/>
      <c r="I17" s="1716"/>
      <c r="J17" s="1716"/>
      <c r="K17" s="1716"/>
      <c r="L17" s="1716"/>
      <c r="M17" s="1716"/>
      <c r="N17" s="1716"/>
      <c r="O17" s="1716"/>
      <c r="P17" s="1716"/>
      <c r="Q17" s="1716"/>
      <c r="R17" s="1716"/>
      <c r="S17" s="1716"/>
      <c r="T17" s="1716"/>
      <c r="U17" s="1717"/>
    </row>
    <row r="18" spans="2:22" x14ac:dyDescent="0.3">
      <c r="B18" s="844" t="s">
        <v>109</v>
      </c>
      <c r="C18" s="845" t="s">
        <v>1172</v>
      </c>
      <c r="D18" s="1715"/>
      <c r="E18" s="1716"/>
      <c r="F18" s="1716"/>
      <c r="G18" s="1716"/>
      <c r="H18" s="1716"/>
      <c r="I18" s="1716"/>
      <c r="J18" s="1716"/>
      <c r="K18" s="1716"/>
      <c r="L18" s="1716"/>
      <c r="M18" s="1716"/>
      <c r="N18" s="1716"/>
      <c r="O18" s="1716"/>
      <c r="P18" s="1716"/>
      <c r="Q18" s="1716"/>
      <c r="R18" s="1716"/>
      <c r="S18" s="1716"/>
      <c r="T18" s="1716"/>
      <c r="U18" s="1717"/>
    </row>
    <row r="19" spans="2:22" x14ac:dyDescent="0.3">
      <c r="B19" s="844" t="s">
        <v>111</v>
      </c>
      <c r="C19" s="845" t="s">
        <v>1173</v>
      </c>
      <c r="D19" s="1715"/>
      <c r="E19" s="1716"/>
      <c r="F19" s="1716"/>
      <c r="G19" s="1716"/>
      <c r="H19" s="1716"/>
      <c r="I19" s="1716"/>
      <c r="J19" s="1716"/>
      <c r="K19" s="1716"/>
      <c r="L19" s="1716"/>
      <c r="M19" s="1716"/>
      <c r="N19" s="1716"/>
      <c r="O19" s="1716"/>
      <c r="P19" s="1716"/>
      <c r="Q19" s="1716"/>
      <c r="R19" s="1716"/>
      <c r="S19" s="1716"/>
      <c r="T19" s="1716"/>
      <c r="U19" s="1717"/>
    </row>
    <row r="20" spans="2:22" x14ac:dyDescent="0.3">
      <c r="B20" s="844" t="s">
        <v>113</v>
      </c>
      <c r="C20" s="845" t="s">
        <v>1174</v>
      </c>
      <c r="D20" s="1715"/>
      <c r="E20" s="1716"/>
      <c r="F20" s="1716"/>
      <c r="G20" s="1716"/>
      <c r="H20" s="1716"/>
      <c r="I20" s="1716"/>
      <c r="J20" s="1716"/>
      <c r="K20" s="1716"/>
      <c r="L20" s="1716"/>
      <c r="M20" s="1716"/>
      <c r="N20" s="1716"/>
      <c r="O20" s="1716"/>
      <c r="P20" s="1716"/>
      <c r="Q20" s="1716"/>
      <c r="R20" s="1716"/>
      <c r="S20" s="1716"/>
      <c r="T20" s="1716"/>
      <c r="U20" s="1717"/>
    </row>
    <row r="21" spans="2:22" x14ac:dyDescent="0.3">
      <c r="B21" s="844" t="s">
        <v>779</v>
      </c>
      <c r="C21" s="845" t="s">
        <v>1175</v>
      </c>
      <c r="D21" s="1715"/>
      <c r="E21" s="1716"/>
      <c r="F21" s="1716"/>
      <c r="G21" s="1716"/>
      <c r="H21" s="1716"/>
      <c r="I21" s="1716"/>
      <c r="J21" s="1716"/>
      <c r="K21" s="1716"/>
      <c r="L21" s="1716"/>
      <c r="M21" s="1716"/>
      <c r="N21" s="1716"/>
      <c r="O21" s="1716"/>
      <c r="P21" s="1716"/>
      <c r="Q21" s="1716"/>
      <c r="R21" s="1716"/>
      <c r="S21" s="1716"/>
      <c r="T21" s="1716"/>
      <c r="U21" s="1717"/>
    </row>
    <row r="22" spans="2:22" x14ac:dyDescent="0.3">
      <c r="B22" s="844" t="s">
        <v>1176</v>
      </c>
      <c r="C22" s="845" t="s">
        <v>1177</v>
      </c>
      <c r="D22" s="1715"/>
      <c r="E22" s="1716"/>
      <c r="F22" s="1716"/>
      <c r="G22" s="1716"/>
      <c r="H22" s="1716"/>
      <c r="I22" s="1716"/>
      <c r="J22" s="1716"/>
      <c r="K22" s="1716"/>
      <c r="L22" s="1716"/>
      <c r="M22" s="1716"/>
      <c r="N22" s="1716"/>
      <c r="O22" s="1716"/>
      <c r="P22" s="1716"/>
      <c r="Q22" s="1716"/>
      <c r="R22" s="1716"/>
      <c r="S22" s="1716"/>
      <c r="T22" s="1716"/>
      <c r="U22" s="1717"/>
    </row>
    <row r="23" spans="2:22" x14ac:dyDescent="0.3">
      <c r="B23" s="844" t="s">
        <v>1178</v>
      </c>
      <c r="C23" s="845" t="s">
        <v>1179</v>
      </c>
      <c r="D23" s="1715"/>
      <c r="E23" s="1716"/>
      <c r="F23" s="1716"/>
      <c r="G23" s="1716"/>
      <c r="H23" s="1716"/>
      <c r="I23" s="1716"/>
      <c r="J23" s="1716"/>
      <c r="K23" s="1716"/>
      <c r="L23" s="1716"/>
      <c r="M23" s="1716"/>
      <c r="N23" s="1716"/>
      <c r="O23" s="1716"/>
      <c r="P23" s="1716"/>
      <c r="Q23" s="1716"/>
      <c r="R23" s="1716"/>
      <c r="S23" s="1716"/>
      <c r="T23" s="1716"/>
      <c r="U23" s="1717"/>
    </row>
    <row r="24" spans="2:22" x14ac:dyDescent="0.3">
      <c r="B24" s="844" t="s">
        <v>1180</v>
      </c>
      <c r="C24" s="845" t="s">
        <v>1181</v>
      </c>
      <c r="D24" s="1715"/>
      <c r="E24" s="1716"/>
      <c r="F24" s="1716"/>
      <c r="G24" s="1716"/>
      <c r="H24" s="1716"/>
      <c r="I24" s="1716"/>
      <c r="J24" s="1716"/>
      <c r="K24" s="1716"/>
      <c r="L24" s="1716"/>
      <c r="M24" s="1716"/>
      <c r="N24" s="1716"/>
      <c r="O24" s="1716"/>
      <c r="P24" s="1716"/>
      <c r="Q24" s="1716"/>
      <c r="R24" s="1716"/>
      <c r="S24" s="1716"/>
      <c r="T24" s="1716"/>
      <c r="U24" s="1717"/>
    </row>
    <row r="25" spans="2:22" x14ac:dyDescent="0.3">
      <c r="B25" s="844" t="s">
        <v>1182</v>
      </c>
      <c r="C25" s="845" t="s">
        <v>1183</v>
      </c>
      <c r="D25" s="1715"/>
      <c r="E25" s="1716"/>
      <c r="F25" s="1716"/>
      <c r="G25" s="1716"/>
      <c r="H25" s="1716"/>
      <c r="I25" s="1716"/>
      <c r="J25" s="1716"/>
      <c r="K25" s="1716"/>
      <c r="L25" s="1716"/>
      <c r="M25" s="1716"/>
      <c r="N25" s="1716"/>
      <c r="O25" s="1716"/>
      <c r="P25" s="1716"/>
      <c r="Q25" s="1716"/>
      <c r="R25" s="1716"/>
      <c r="S25" s="1716"/>
      <c r="T25" s="1716"/>
      <c r="U25" s="1717"/>
    </row>
    <row r="26" spans="2:22" x14ac:dyDescent="0.3">
      <c r="B26" s="844"/>
      <c r="C26" s="845"/>
      <c r="D26" s="1715"/>
      <c r="E26" s="1716"/>
      <c r="F26" s="1716"/>
      <c r="G26" s="1716"/>
      <c r="H26" s="1716"/>
      <c r="I26" s="1716"/>
      <c r="J26" s="1716"/>
      <c r="K26" s="1716"/>
      <c r="L26" s="1716"/>
      <c r="M26" s="1716"/>
      <c r="N26" s="1716"/>
      <c r="O26" s="1716"/>
      <c r="P26" s="1716"/>
      <c r="Q26" s="1716"/>
      <c r="R26" s="1716"/>
      <c r="S26" s="1716"/>
      <c r="T26" s="1716"/>
      <c r="U26" s="1717"/>
    </row>
    <row r="27" spans="2:22" s="782" customFormat="1" x14ac:dyDescent="0.3">
      <c r="B27" s="843">
        <v>2.2000000000000002</v>
      </c>
      <c r="C27" s="842" t="s">
        <v>1184</v>
      </c>
      <c r="D27" s="1715"/>
      <c r="E27" s="1716"/>
      <c r="F27" s="1716"/>
      <c r="G27" s="1716"/>
      <c r="H27" s="1716"/>
      <c r="I27" s="1716"/>
      <c r="J27" s="1716"/>
      <c r="K27" s="1716"/>
      <c r="L27" s="1716"/>
      <c r="M27" s="1716"/>
      <c r="N27" s="1716"/>
      <c r="O27" s="1716"/>
      <c r="P27" s="1716"/>
      <c r="Q27" s="1716"/>
      <c r="R27" s="1716"/>
      <c r="S27" s="1716"/>
      <c r="T27" s="1716"/>
      <c r="U27" s="1717"/>
      <c r="V27" s="846"/>
    </row>
    <row r="28" spans="2:22" x14ac:dyDescent="0.3">
      <c r="B28" s="844" t="s">
        <v>116</v>
      </c>
      <c r="C28" s="845" t="s">
        <v>1185</v>
      </c>
      <c r="D28" s="1715"/>
      <c r="E28" s="1716"/>
      <c r="F28" s="1716"/>
      <c r="G28" s="1716"/>
      <c r="H28" s="1716"/>
      <c r="I28" s="1716"/>
      <c r="J28" s="1716"/>
      <c r="K28" s="1716"/>
      <c r="L28" s="1716"/>
      <c r="M28" s="1716"/>
      <c r="N28" s="1716"/>
      <c r="O28" s="1716"/>
      <c r="P28" s="1716"/>
      <c r="Q28" s="1716"/>
      <c r="R28" s="1716"/>
      <c r="S28" s="1716"/>
      <c r="T28" s="1716"/>
      <c r="U28" s="1717"/>
      <c r="V28" s="560"/>
    </row>
    <row r="29" spans="2:22" ht="29.4" customHeight="1" x14ac:dyDescent="0.3">
      <c r="B29" s="844" t="s">
        <v>118</v>
      </c>
      <c r="C29" s="845" t="s">
        <v>1186</v>
      </c>
      <c r="D29" s="1715"/>
      <c r="E29" s="1716"/>
      <c r="F29" s="1716"/>
      <c r="G29" s="1716"/>
      <c r="H29" s="1716"/>
      <c r="I29" s="1716"/>
      <c r="J29" s="1716"/>
      <c r="K29" s="1716"/>
      <c r="L29" s="1716"/>
      <c r="M29" s="1716"/>
      <c r="N29" s="1716"/>
      <c r="O29" s="1716"/>
      <c r="P29" s="1716"/>
      <c r="Q29" s="1716"/>
      <c r="R29" s="1716"/>
      <c r="S29" s="1716"/>
      <c r="T29" s="1716"/>
      <c r="U29" s="1717"/>
      <c r="V29" s="560"/>
    </row>
    <row r="30" spans="2:22" x14ac:dyDescent="0.3">
      <c r="B30" s="844" t="s">
        <v>119</v>
      </c>
      <c r="C30" s="845" t="s">
        <v>1187</v>
      </c>
      <c r="D30" s="1715"/>
      <c r="E30" s="1716"/>
      <c r="F30" s="1716"/>
      <c r="G30" s="1716"/>
      <c r="H30" s="1716"/>
      <c r="I30" s="1716"/>
      <c r="J30" s="1716"/>
      <c r="K30" s="1716"/>
      <c r="L30" s="1716"/>
      <c r="M30" s="1716"/>
      <c r="N30" s="1716"/>
      <c r="O30" s="1716"/>
      <c r="P30" s="1716"/>
      <c r="Q30" s="1716"/>
      <c r="R30" s="1716"/>
      <c r="S30" s="1716"/>
      <c r="T30" s="1716"/>
      <c r="U30" s="1717"/>
    </row>
    <row r="31" spans="2:22" x14ac:dyDescent="0.3">
      <c r="B31" s="844" t="s">
        <v>784</v>
      </c>
      <c r="C31" s="845" t="s">
        <v>1188</v>
      </c>
      <c r="D31" s="1715"/>
      <c r="E31" s="1716"/>
      <c r="F31" s="1716"/>
      <c r="G31" s="1716"/>
      <c r="H31" s="1716"/>
      <c r="I31" s="1716"/>
      <c r="J31" s="1716"/>
      <c r="K31" s="1716"/>
      <c r="L31" s="1716"/>
      <c r="M31" s="1716"/>
      <c r="N31" s="1716"/>
      <c r="O31" s="1716"/>
      <c r="P31" s="1716"/>
      <c r="Q31" s="1716"/>
      <c r="R31" s="1716"/>
      <c r="S31" s="1716"/>
      <c r="T31" s="1716"/>
      <c r="U31" s="1717"/>
    </row>
    <row r="32" spans="2:22" ht="28" x14ac:dyDescent="0.3">
      <c r="B32" s="844" t="s">
        <v>1189</v>
      </c>
      <c r="C32" s="845" t="s">
        <v>1190</v>
      </c>
      <c r="D32" s="1715"/>
      <c r="E32" s="1716"/>
      <c r="F32" s="1716"/>
      <c r="G32" s="1716"/>
      <c r="H32" s="1716"/>
      <c r="I32" s="1716"/>
      <c r="J32" s="1716"/>
      <c r="K32" s="1716"/>
      <c r="L32" s="1716"/>
      <c r="M32" s="1716"/>
      <c r="N32" s="1716"/>
      <c r="O32" s="1716"/>
      <c r="P32" s="1716"/>
      <c r="Q32" s="1716"/>
      <c r="R32" s="1716"/>
      <c r="S32" s="1716"/>
      <c r="T32" s="1716"/>
      <c r="U32" s="1717"/>
      <c r="V32" s="829"/>
    </row>
    <row r="33" spans="2:21" x14ac:dyDescent="0.3">
      <c r="B33" s="844" t="s">
        <v>1191</v>
      </c>
      <c r="C33" s="845" t="s">
        <v>1192</v>
      </c>
      <c r="D33" s="1715"/>
      <c r="E33" s="1716"/>
      <c r="F33" s="1716"/>
      <c r="G33" s="1716"/>
      <c r="H33" s="1716"/>
      <c r="I33" s="1716"/>
      <c r="J33" s="1716"/>
      <c r="K33" s="1716"/>
      <c r="L33" s="1716"/>
      <c r="M33" s="1716"/>
      <c r="N33" s="1716"/>
      <c r="O33" s="1716"/>
      <c r="P33" s="1716"/>
      <c r="Q33" s="1716"/>
      <c r="R33" s="1716"/>
      <c r="S33" s="1716"/>
      <c r="T33" s="1716"/>
      <c r="U33" s="1717"/>
    </row>
    <row r="34" spans="2:21" x14ac:dyDescent="0.3">
      <c r="B34" s="844" t="s">
        <v>1193</v>
      </c>
      <c r="C34" s="845" t="s">
        <v>1194</v>
      </c>
      <c r="D34" s="1715"/>
      <c r="E34" s="1716"/>
      <c r="F34" s="1716"/>
      <c r="G34" s="1716"/>
      <c r="H34" s="1716"/>
      <c r="I34" s="1716"/>
      <c r="J34" s="1716"/>
      <c r="K34" s="1716"/>
      <c r="L34" s="1716"/>
      <c r="M34" s="1716"/>
      <c r="N34" s="1716"/>
      <c r="O34" s="1716"/>
      <c r="P34" s="1716"/>
      <c r="Q34" s="1716"/>
      <c r="R34" s="1716"/>
      <c r="S34" s="1716"/>
      <c r="T34" s="1716"/>
      <c r="U34" s="1717"/>
    </row>
    <row r="35" spans="2:21" ht="17.399999999999999" customHeight="1" x14ac:dyDescent="0.3">
      <c r="B35" s="844" t="s">
        <v>1195</v>
      </c>
      <c r="C35" s="845" t="s">
        <v>1196</v>
      </c>
      <c r="D35" s="1715"/>
      <c r="E35" s="1716"/>
      <c r="F35" s="1716"/>
      <c r="G35" s="1716"/>
      <c r="H35" s="1716"/>
      <c r="I35" s="1716"/>
      <c r="J35" s="1716"/>
      <c r="K35" s="1716"/>
      <c r="L35" s="1716"/>
      <c r="M35" s="1716"/>
      <c r="N35" s="1716"/>
      <c r="O35" s="1716"/>
      <c r="P35" s="1716"/>
      <c r="Q35" s="1716"/>
      <c r="R35" s="1716"/>
      <c r="S35" s="1716"/>
      <c r="T35" s="1716"/>
      <c r="U35" s="1717"/>
    </row>
    <row r="36" spans="2:21" x14ac:dyDescent="0.3">
      <c r="B36" s="844" t="s">
        <v>1197</v>
      </c>
      <c r="C36" s="845" t="s">
        <v>1198</v>
      </c>
      <c r="D36" s="1715"/>
      <c r="E36" s="1716"/>
      <c r="F36" s="1716"/>
      <c r="G36" s="1716"/>
      <c r="H36" s="1716"/>
      <c r="I36" s="1716"/>
      <c r="J36" s="1716"/>
      <c r="K36" s="1716"/>
      <c r="L36" s="1716"/>
      <c r="M36" s="1716"/>
      <c r="N36" s="1716"/>
      <c r="O36" s="1716"/>
      <c r="P36" s="1716"/>
      <c r="Q36" s="1716"/>
      <c r="R36" s="1716"/>
      <c r="S36" s="1716"/>
      <c r="T36" s="1716"/>
      <c r="U36" s="1717"/>
    </row>
    <row r="37" spans="2:21" s="782" customFormat="1" x14ac:dyDescent="0.3">
      <c r="B37" s="844" t="s">
        <v>1199</v>
      </c>
      <c r="C37" s="839" t="s">
        <v>1200</v>
      </c>
      <c r="D37" s="1715"/>
      <c r="E37" s="1716"/>
      <c r="F37" s="1716"/>
      <c r="G37" s="1716"/>
      <c r="H37" s="1716"/>
      <c r="I37" s="1716"/>
      <c r="J37" s="1716"/>
      <c r="K37" s="1716"/>
      <c r="L37" s="1716"/>
      <c r="M37" s="1716"/>
      <c r="N37" s="1716"/>
      <c r="O37" s="1716"/>
      <c r="P37" s="1716"/>
      <c r="Q37" s="1716"/>
      <c r="R37" s="1716"/>
      <c r="S37" s="1716"/>
      <c r="T37" s="1716"/>
      <c r="U37" s="1717"/>
    </row>
    <row r="38" spans="2:21" x14ac:dyDescent="0.3">
      <c r="B38" s="844" t="s">
        <v>1201</v>
      </c>
      <c r="C38" s="845" t="s">
        <v>1202</v>
      </c>
      <c r="D38" s="1715"/>
      <c r="E38" s="1716"/>
      <c r="F38" s="1716"/>
      <c r="G38" s="1716"/>
      <c r="H38" s="1716"/>
      <c r="I38" s="1716"/>
      <c r="J38" s="1716"/>
      <c r="K38" s="1716"/>
      <c r="L38" s="1716"/>
      <c r="M38" s="1716"/>
      <c r="N38" s="1716"/>
      <c r="O38" s="1716"/>
      <c r="P38" s="1716"/>
      <c r="Q38" s="1716"/>
      <c r="R38" s="1716"/>
      <c r="S38" s="1716"/>
      <c r="T38" s="1716"/>
      <c r="U38" s="1717"/>
    </row>
    <row r="39" spans="2:21" x14ac:dyDescent="0.3">
      <c r="B39" s="844" t="s">
        <v>1203</v>
      </c>
      <c r="C39" s="845" t="s">
        <v>1204</v>
      </c>
      <c r="D39" s="1715"/>
      <c r="E39" s="1716"/>
      <c r="F39" s="1716"/>
      <c r="G39" s="1716"/>
      <c r="H39" s="1716"/>
      <c r="I39" s="1716"/>
      <c r="J39" s="1716"/>
      <c r="K39" s="1716"/>
      <c r="L39" s="1716"/>
      <c r="M39" s="1716"/>
      <c r="N39" s="1716"/>
      <c r="O39" s="1716"/>
      <c r="P39" s="1716"/>
      <c r="Q39" s="1716"/>
      <c r="R39" s="1716"/>
      <c r="S39" s="1716"/>
      <c r="T39" s="1716"/>
      <c r="U39" s="1717"/>
    </row>
    <row r="40" spans="2:21" x14ac:dyDescent="0.3">
      <c r="B40" s="844" t="s">
        <v>1205</v>
      </c>
      <c r="C40" s="845" t="s">
        <v>1206</v>
      </c>
      <c r="D40" s="1715"/>
      <c r="E40" s="1716"/>
      <c r="F40" s="1716"/>
      <c r="G40" s="1716"/>
      <c r="H40" s="1716"/>
      <c r="I40" s="1716"/>
      <c r="J40" s="1716"/>
      <c r="K40" s="1716"/>
      <c r="L40" s="1716"/>
      <c r="M40" s="1716"/>
      <c r="N40" s="1716"/>
      <c r="O40" s="1716"/>
      <c r="P40" s="1716"/>
      <c r="Q40" s="1716"/>
      <c r="R40" s="1716"/>
      <c r="S40" s="1716"/>
      <c r="T40" s="1716"/>
      <c r="U40" s="1717"/>
    </row>
    <row r="41" spans="2:21" x14ac:dyDescent="0.3">
      <c r="B41" s="844" t="s">
        <v>1207</v>
      </c>
      <c r="C41" s="845" t="s">
        <v>1208</v>
      </c>
      <c r="D41" s="1715"/>
      <c r="E41" s="1716"/>
      <c r="F41" s="1716"/>
      <c r="G41" s="1716"/>
      <c r="H41" s="1716"/>
      <c r="I41" s="1716"/>
      <c r="J41" s="1716"/>
      <c r="K41" s="1716"/>
      <c r="L41" s="1716"/>
      <c r="M41" s="1716"/>
      <c r="N41" s="1716"/>
      <c r="O41" s="1716"/>
      <c r="P41" s="1716"/>
      <c r="Q41" s="1716"/>
      <c r="R41" s="1716"/>
      <c r="S41" s="1716"/>
      <c r="T41" s="1716"/>
      <c r="U41" s="1717"/>
    </row>
    <row r="42" spans="2:21" x14ac:dyDescent="0.3">
      <c r="B42" s="844" t="s">
        <v>1209</v>
      </c>
      <c r="C42" s="845" t="s">
        <v>1210</v>
      </c>
      <c r="D42" s="1715"/>
      <c r="E42" s="1716"/>
      <c r="F42" s="1716"/>
      <c r="G42" s="1716"/>
      <c r="H42" s="1716"/>
      <c r="I42" s="1716"/>
      <c r="J42" s="1716"/>
      <c r="K42" s="1716"/>
      <c r="L42" s="1716"/>
      <c r="M42" s="1716"/>
      <c r="N42" s="1716"/>
      <c r="O42" s="1716"/>
      <c r="P42" s="1716"/>
      <c r="Q42" s="1716"/>
      <c r="R42" s="1716"/>
      <c r="S42" s="1716"/>
      <c r="T42" s="1716"/>
      <c r="U42" s="1717"/>
    </row>
    <row r="43" spans="2:21" x14ac:dyDescent="0.3">
      <c r="B43" s="844" t="s">
        <v>1211</v>
      </c>
      <c r="C43" s="845" t="s">
        <v>1212</v>
      </c>
      <c r="D43" s="1715"/>
      <c r="E43" s="1716"/>
      <c r="F43" s="1716"/>
      <c r="G43" s="1716"/>
      <c r="H43" s="1716"/>
      <c r="I43" s="1716"/>
      <c r="J43" s="1716"/>
      <c r="K43" s="1716"/>
      <c r="L43" s="1716"/>
      <c r="M43" s="1716"/>
      <c r="N43" s="1716"/>
      <c r="O43" s="1716"/>
      <c r="P43" s="1716"/>
      <c r="Q43" s="1716"/>
      <c r="R43" s="1716"/>
      <c r="S43" s="1716"/>
      <c r="T43" s="1716"/>
      <c r="U43" s="1717"/>
    </row>
    <row r="44" spans="2:21" x14ac:dyDescent="0.3">
      <c r="B44" s="844" t="s">
        <v>1213</v>
      </c>
      <c r="C44" s="845" t="s">
        <v>1214</v>
      </c>
      <c r="D44" s="1715"/>
      <c r="E44" s="1716"/>
      <c r="F44" s="1716"/>
      <c r="G44" s="1716"/>
      <c r="H44" s="1716"/>
      <c r="I44" s="1716"/>
      <c r="J44" s="1716"/>
      <c r="K44" s="1716"/>
      <c r="L44" s="1716"/>
      <c r="M44" s="1716"/>
      <c r="N44" s="1716"/>
      <c r="O44" s="1716"/>
      <c r="P44" s="1716"/>
      <c r="Q44" s="1716"/>
      <c r="R44" s="1716"/>
      <c r="S44" s="1716"/>
      <c r="T44" s="1716"/>
      <c r="U44" s="1717"/>
    </row>
    <row r="45" spans="2:21" x14ac:dyDescent="0.3">
      <c r="B45" s="844"/>
      <c r="C45" s="845"/>
      <c r="D45" s="1715"/>
      <c r="E45" s="1716"/>
      <c r="F45" s="1716"/>
      <c r="G45" s="1716"/>
      <c r="H45" s="1716"/>
      <c r="I45" s="1716"/>
      <c r="J45" s="1716"/>
      <c r="K45" s="1716"/>
      <c r="L45" s="1716"/>
      <c r="M45" s="1716"/>
      <c r="N45" s="1716"/>
      <c r="O45" s="1716"/>
      <c r="P45" s="1716"/>
      <c r="Q45" s="1716"/>
      <c r="R45" s="1716"/>
      <c r="S45" s="1716"/>
      <c r="T45" s="1716"/>
      <c r="U45" s="1717"/>
    </row>
    <row r="46" spans="2:21" s="782" customFormat="1" x14ac:dyDescent="0.3">
      <c r="B46" s="843">
        <v>2.2999999999999998</v>
      </c>
      <c r="C46" s="842" t="s">
        <v>1215</v>
      </c>
      <c r="D46" s="1715"/>
      <c r="E46" s="1716"/>
      <c r="F46" s="1716"/>
      <c r="G46" s="1716"/>
      <c r="H46" s="1716"/>
      <c r="I46" s="1716"/>
      <c r="J46" s="1716"/>
      <c r="K46" s="1716"/>
      <c r="L46" s="1716"/>
      <c r="M46" s="1716"/>
      <c r="N46" s="1716"/>
      <c r="O46" s="1716"/>
      <c r="P46" s="1716"/>
      <c r="Q46" s="1716"/>
      <c r="R46" s="1716"/>
      <c r="S46" s="1716"/>
      <c r="T46" s="1716"/>
      <c r="U46" s="1717"/>
    </row>
    <row r="47" spans="2:21" x14ac:dyDescent="0.3">
      <c r="B47" s="844" t="s">
        <v>338</v>
      </c>
      <c r="C47" s="845" t="s">
        <v>1216</v>
      </c>
      <c r="D47" s="1715"/>
      <c r="E47" s="1716"/>
      <c r="F47" s="1716"/>
      <c r="G47" s="1716"/>
      <c r="H47" s="1716"/>
      <c r="I47" s="1716"/>
      <c r="J47" s="1716"/>
      <c r="K47" s="1716"/>
      <c r="L47" s="1716"/>
      <c r="M47" s="1716"/>
      <c r="N47" s="1716"/>
      <c r="O47" s="1716"/>
      <c r="P47" s="1716"/>
      <c r="Q47" s="1716"/>
      <c r="R47" s="1716"/>
      <c r="S47" s="1716"/>
      <c r="T47" s="1716"/>
      <c r="U47" s="1717"/>
    </row>
    <row r="48" spans="2:21" x14ac:dyDescent="0.3">
      <c r="B48" s="844" t="s">
        <v>339</v>
      </c>
      <c r="C48" s="845" t="s">
        <v>1217</v>
      </c>
      <c r="D48" s="1715"/>
      <c r="E48" s="1716"/>
      <c r="F48" s="1716"/>
      <c r="G48" s="1716"/>
      <c r="H48" s="1716"/>
      <c r="I48" s="1716"/>
      <c r="J48" s="1716"/>
      <c r="K48" s="1716"/>
      <c r="L48" s="1716"/>
      <c r="M48" s="1716"/>
      <c r="N48" s="1716"/>
      <c r="O48" s="1716"/>
      <c r="P48" s="1716"/>
      <c r="Q48" s="1716"/>
      <c r="R48" s="1716"/>
      <c r="S48" s="1716"/>
      <c r="T48" s="1716"/>
      <c r="U48" s="1717"/>
    </row>
    <row r="49" spans="2:21" x14ac:dyDescent="0.3">
      <c r="B49" s="844" t="s">
        <v>340</v>
      </c>
      <c r="C49" s="845" t="s">
        <v>1218</v>
      </c>
      <c r="D49" s="1715"/>
      <c r="E49" s="1716"/>
      <c r="F49" s="1716"/>
      <c r="G49" s="1716"/>
      <c r="H49" s="1716"/>
      <c r="I49" s="1716"/>
      <c r="J49" s="1716"/>
      <c r="K49" s="1716"/>
      <c r="L49" s="1716"/>
      <c r="M49" s="1716"/>
      <c r="N49" s="1716"/>
      <c r="O49" s="1716"/>
      <c r="P49" s="1716"/>
      <c r="Q49" s="1716"/>
      <c r="R49" s="1716"/>
      <c r="S49" s="1716"/>
      <c r="T49" s="1716"/>
      <c r="U49" s="1717"/>
    </row>
    <row r="50" spans="2:21" x14ac:dyDescent="0.3">
      <c r="B50" s="844" t="s">
        <v>785</v>
      </c>
      <c r="C50" s="845" t="s">
        <v>1219</v>
      </c>
      <c r="D50" s="1715"/>
      <c r="E50" s="1716"/>
      <c r="F50" s="1716"/>
      <c r="G50" s="1716"/>
      <c r="H50" s="1716"/>
      <c r="I50" s="1716"/>
      <c r="J50" s="1716"/>
      <c r="K50" s="1716"/>
      <c r="L50" s="1716"/>
      <c r="M50" s="1716"/>
      <c r="N50" s="1716"/>
      <c r="O50" s="1716"/>
      <c r="P50" s="1716"/>
      <c r="Q50" s="1716"/>
      <c r="R50" s="1716"/>
      <c r="S50" s="1716"/>
      <c r="T50" s="1716"/>
      <c r="U50" s="1717"/>
    </row>
    <row r="51" spans="2:21" x14ac:dyDescent="0.3">
      <c r="B51" s="844" t="s">
        <v>1220</v>
      </c>
      <c r="C51" s="845" t="s">
        <v>1221</v>
      </c>
      <c r="D51" s="1715"/>
      <c r="E51" s="1716"/>
      <c r="F51" s="1716"/>
      <c r="G51" s="1716"/>
      <c r="H51" s="1716"/>
      <c r="I51" s="1716"/>
      <c r="J51" s="1716"/>
      <c r="K51" s="1716"/>
      <c r="L51" s="1716"/>
      <c r="M51" s="1716"/>
      <c r="N51" s="1716"/>
      <c r="O51" s="1716"/>
      <c r="P51" s="1716"/>
      <c r="Q51" s="1716"/>
      <c r="R51" s="1716"/>
      <c r="S51" s="1716"/>
      <c r="T51" s="1716"/>
      <c r="U51" s="1717"/>
    </row>
    <row r="52" spans="2:21" x14ac:dyDescent="0.3">
      <c r="B52" s="844" t="s">
        <v>1222</v>
      </c>
      <c r="C52" s="845" t="s">
        <v>1223</v>
      </c>
      <c r="D52" s="1715"/>
      <c r="E52" s="1716"/>
      <c r="F52" s="1716"/>
      <c r="G52" s="1716"/>
      <c r="H52" s="1716"/>
      <c r="I52" s="1716"/>
      <c r="J52" s="1716"/>
      <c r="K52" s="1716"/>
      <c r="L52" s="1716"/>
      <c r="M52" s="1716"/>
      <c r="N52" s="1716"/>
      <c r="O52" s="1716"/>
      <c r="P52" s="1716"/>
      <c r="Q52" s="1716"/>
      <c r="R52" s="1716"/>
      <c r="S52" s="1716"/>
      <c r="T52" s="1716"/>
      <c r="U52" s="1717"/>
    </row>
    <row r="53" spans="2:21" x14ac:dyDescent="0.3">
      <c r="B53" s="844" t="s">
        <v>1224</v>
      </c>
      <c r="C53" s="845" t="s">
        <v>1225</v>
      </c>
      <c r="D53" s="1715"/>
      <c r="E53" s="1716"/>
      <c r="F53" s="1716"/>
      <c r="G53" s="1716"/>
      <c r="H53" s="1716"/>
      <c r="I53" s="1716"/>
      <c r="J53" s="1716"/>
      <c r="K53" s="1716"/>
      <c r="L53" s="1716"/>
      <c r="M53" s="1716"/>
      <c r="N53" s="1716"/>
      <c r="O53" s="1716"/>
      <c r="P53" s="1716"/>
      <c r="Q53" s="1716"/>
      <c r="R53" s="1716"/>
      <c r="S53" s="1716"/>
      <c r="T53" s="1716"/>
      <c r="U53" s="1717"/>
    </row>
    <row r="54" spans="2:21" x14ac:dyDescent="0.3">
      <c r="B54" s="844" t="s">
        <v>1226</v>
      </c>
      <c r="C54" s="845" t="s">
        <v>1227</v>
      </c>
      <c r="D54" s="1715"/>
      <c r="E54" s="1716"/>
      <c r="F54" s="1716"/>
      <c r="G54" s="1716"/>
      <c r="H54" s="1716"/>
      <c r="I54" s="1716"/>
      <c r="J54" s="1716"/>
      <c r="K54" s="1716"/>
      <c r="L54" s="1716"/>
      <c r="M54" s="1716"/>
      <c r="N54" s="1716"/>
      <c r="O54" s="1716"/>
      <c r="P54" s="1716"/>
      <c r="Q54" s="1716"/>
      <c r="R54" s="1716"/>
      <c r="S54" s="1716"/>
      <c r="T54" s="1716"/>
      <c r="U54" s="1717"/>
    </row>
    <row r="55" spans="2:21" x14ac:dyDescent="0.3">
      <c r="B55" s="844" t="s">
        <v>1228</v>
      </c>
      <c r="C55" s="845" t="s">
        <v>1229</v>
      </c>
      <c r="D55" s="1715"/>
      <c r="E55" s="1716"/>
      <c r="F55" s="1716"/>
      <c r="G55" s="1716"/>
      <c r="H55" s="1716"/>
      <c r="I55" s="1716"/>
      <c r="J55" s="1716"/>
      <c r="K55" s="1716"/>
      <c r="L55" s="1716"/>
      <c r="M55" s="1716"/>
      <c r="N55" s="1716"/>
      <c r="O55" s="1716"/>
      <c r="P55" s="1716"/>
      <c r="Q55" s="1716"/>
      <c r="R55" s="1716"/>
      <c r="S55" s="1716"/>
      <c r="T55" s="1716"/>
      <c r="U55" s="1717"/>
    </row>
    <row r="56" spans="2:21" x14ac:dyDescent="0.3">
      <c r="B56" s="844" t="s">
        <v>1230</v>
      </c>
      <c r="C56" s="845" t="s">
        <v>1231</v>
      </c>
      <c r="D56" s="1715"/>
      <c r="E56" s="1716"/>
      <c r="F56" s="1716"/>
      <c r="G56" s="1716"/>
      <c r="H56" s="1716"/>
      <c r="I56" s="1716"/>
      <c r="J56" s="1716"/>
      <c r="K56" s="1716"/>
      <c r="L56" s="1716"/>
      <c r="M56" s="1716"/>
      <c r="N56" s="1716"/>
      <c r="O56" s="1716"/>
      <c r="P56" s="1716"/>
      <c r="Q56" s="1716"/>
      <c r="R56" s="1716"/>
      <c r="S56" s="1716"/>
      <c r="T56" s="1716"/>
      <c r="U56" s="1717"/>
    </row>
    <row r="57" spans="2:21" x14ac:dyDescent="0.3">
      <c r="B57" s="844" t="s">
        <v>1232</v>
      </c>
      <c r="C57" s="845" t="s">
        <v>1233</v>
      </c>
      <c r="D57" s="1715"/>
      <c r="E57" s="1716"/>
      <c r="F57" s="1716"/>
      <c r="G57" s="1716"/>
      <c r="H57" s="1716"/>
      <c r="I57" s="1716"/>
      <c r="J57" s="1716"/>
      <c r="K57" s="1716"/>
      <c r="L57" s="1716"/>
      <c r="M57" s="1716"/>
      <c r="N57" s="1716"/>
      <c r="O57" s="1716"/>
      <c r="P57" s="1716"/>
      <c r="Q57" s="1716"/>
      <c r="R57" s="1716"/>
      <c r="S57" s="1716"/>
      <c r="T57" s="1716"/>
      <c r="U57" s="1717"/>
    </row>
    <row r="58" spans="2:21" x14ac:dyDescent="0.3">
      <c r="B58" s="844" t="s">
        <v>1234</v>
      </c>
      <c r="C58" s="845" t="s">
        <v>1235</v>
      </c>
      <c r="D58" s="1715"/>
      <c r="E58" s="1716"/>
      <c r="F58" s="1716"/>
      <c r="G58" s="1716"/>
      <c r="H58" s="1716"/>
      <c r="I58" s="1716"/>
      <c r="J58" s="1716"/>
      <c r="K58" s="1716"/>
      <c r="L58" s="1716"/>
      <c r="M58" s="1716"/>
      <c r="N58" s="1716"/>
      <c r="O58" s="1716"/>
      <c r="P58" s="1716"/>
      <c r="Q58" s="1716"/>
      <c r="R58" s="1716"/>
      <c r="S58" s="1716"/>
      <c r="T58" s="1716"/>
      <c r="U58" s="1717"/>
    </row>
    <row r="59" spans="2:21" x14ac:dyDescent="0.3">
      <c r="B59" s="844" t="s">
        <v>1236</v>
      </c>
      <c r="C59" s="845" t="s">
        <v>1237</v>
      </c>
      <c r="D59" s="1715"/>
      <c r="E59" s="1716"/>
      <c r="F59" s="1716"/>
      <c r="G59" s="1716"/>
      <c r="H59" s="1716"/>
      <c r="I59" s="1716"/>
      <c r="J59" s="1716"/>
      <c r="K59" s="1716"/>
      <c r="L59" s="1716"/>
      <c r="M59" s="1716"/>
      <c r="N59" s="1716"/>
      <c r="O59" s="1716"/>
      <c r="P59" s="1716"/>
      <c r="Q59" s="1716"/>
      <c r="R59" s="1716"/>
      <c r="S59" s="1716"/>
      <c r="T59" s="1716"/>
      <c r="U59" s="1717"/>
    </row>
    <row r="60" spans="2:21" x14ac:dyDescent="0.3">
      <c r="B60" s="844" t="s">
        <v>1238</v>
      </c>
      <c r="C60" s="845" t="s">
        <v>1239</v>
      </c>
      <c r="D60" s="1715"/>
      <c r="E60" s="1716"/>
      <c r="F60" s="1716"/>
      <c r="G60" s="1716"/>
      <c r="H60" s="1716"/>
      <c r="I60" s="1716"/>
      <c r="J60" s="1716"/>
      <c r="K60" s="1716"/>
      <c r="L60" s="1716"/>
      <c r="M60" s="1716"/>
      <c r="N60" s="1716"/>
      <c r="O60" s="1716"/>
      <c r="P60" s="1716"/>
      <c r="Q60" s="1716"/>
      <c r="R60" s="1716"/>
      <c r="S60" s="1716"/>
      <c r="T60" s="1716"/>
      <c r="U60" s="1717"/>
    </row>
    <row r="61" spans="2:21" x14ac:dyDescent="0.3">
      <c r="B61" s="844" t="s">
        <v>1240</v>
      </c>
      <c r="C61" s="845" t="s">
        <v>1241</v>
      </c>
      <c r="D61" s="1715"/>
      <c r="E61" s="1716"/>
      <c r="F61" s="1716"/>
      <c r="G61" s="1716"/>
      <c r="H61" s="1716"/>
      <c r="I61" s="1716"/>
      <c r="J61" s="1716"/>
      <c r="K61" s="1716"/>
      <c r="L61" s="1716"/>
      <c r="M61" s="1716"/>
      <c r="N61" s="1716"/>
      <c r="O61" s="1716"/>
      <c r="P61" s="1716"/>
      <c r="Q61" s="1716"/>
      <c r="R61" s="1716"/>
      <c r="S61" s="1716"/>
      <c r="T61" s="1716"/>
      <c r="U61" s="1717"/>
    </row>
    <row r="62" spans="2:21" x14ac:dyDescent="0.3">
      <c r="B62" s="844" t="s">
        <v>1242</v>
      </c>
      <c r="C62" s="845" t="s">
        <v>1243</v>
      </c>
      <c r="D62" s="1715"/>
      <c r="E62" s="1716"/>
      <c r="F62" s="1716"/>
      <c r="G62" s="1716"/>
      <c r="H62" s="1716"/>
      <c r="I62" s="1716"/>
      <c r="J62" s="1716"/>
      <c r="K62" s="1716"/>
      <c r="L62" s="1716"/>
      <c r="M62" s="1716"/>
      <c r="N62" s="1716"/>
      <c r="O62" s="1716"/>
      <c r="P62" s="1716"/>
      <c r="Q62" s="1716"/>
      <c r="R62" s="1716"/>
      <c r="S62" s="1716"/>
      <c r="T62" s="1716"/>
      <c r="U62" s="1717"/>
    </row>
    <row r="63" spans="2:21" x14ac:dyDescent="0.3">
      <c r="B63" s="844" t="s">
        <v>1244</v>
      </c>
      <c r="C63" s="845" t="s">
        <v>1245</v>
      </c>
      <c r="D63" s="1715"/>
      <c r="E63" s="1716"/>
      <c r="F63" s="1716"/>
      <c r="G63" s="1716"/>
      <c r="H63" s="1716"/>
      <c r="I63" s="1716"/>
      <c r="J63" s="1716"/>
      <c r="K63" s="1716"/>
      <c r="L63" s="1716"/>
      <c r="M63" s="1716"/>
      <c r="N63" s="1716"/>
      <c r="O63" s="1716"/>
      <c r="P63" s="1716"/>
      <c r="Q63" s="1716"/>
      <c r="R63" s="1716"/>
      <c r="S63" s="1716"/>
      <c r="T63" s="1716"/>
      <c r="U63" s="1717"/>
    </row>
    <row r="64" spans="2:21" x14ac:dyDescent="0.3">
      <c r="B64" s="844" t="s">
        <v>1246</v>
      </c>
      <c r="C64" s="845" t="s">
        <v>1247</v>
      </c>
      <c r="D64" s="1715"/>
      <c r="E64" s="1716"/>
      <c r="F64" s="1716"/>
      <c r="G64" s="1716"/>
      <c r="H64" s="1716"/>
      <c r="I64" s="1716"/>
      <c r="J64" s="1716"/>
      <c r="K64" s="1716"/>
      <c r="L64" s="1716"/>
      <c r="M64" s="1716"/>
      <c r="N64" s="1716"/>
      <c r="O64" s="1716"/>
      <c r="P64" s="1716"/>
      <c r="Q64" s="1716"/>
      <c r="R64" s="1716"/>
      <c r="S64" s="1716"/>
      <c r="T64" s="1716"/>
      <c r="U64" s="1717"/>
    </row>
    <row r="65" spans="2:21" x14ac:dyDescent="0.3">
      <c r="B65" s="844" t="s">
        <v>1248</v>
      </c>
      <c r="C65" s="845" t="s">
        <v>1249</v>
      </c>
      <c r="D65" s="1715"/>
      <c r="E65" s="1716"/>
      <c r="F65" s="1716"/>
      <c r="G65" s="1716"/>
      <c r="H65" s="1716"/>
      <c r="I65" s="1716"/>
      <c r="J65" s="1716"/>
      <c r="K65" s="1716"/>
      <c r="L65" s="1716"/>
      <c r="M65" s="1716"/>
      <c r="N65" s="1716"/>
      <c r="O65" s="1716"/>
      <c r="P65" s="1716"/>
      <c r="Q65" s="1716"/>
      <c r="R65" s="1716"/>
      <c r="S65" s="1716"/>
      <c r="T65" s="1716"/>
      <c r="U65" s="1717"/>
    </row>
    <row r="66" spans="2:21" x14ac:dyDescent="0.3">
      <c r="B66" s="844" t="s">
        <v>1250</v>
      </c>
      <c r="C66" s="845" t="s">
        <v>1251</v>
      </c>
      <c r="D66" s="1715"/>
      <c r="E66" s="1716"/>
      <c r="F66" s="1716"/>
      <c r="G66" s="1716"/>
      <c r="H66" s="1716"/>
      <c r="I66" s="1716"/>
      <c r="J66" s="1716"/>
      <c r="K66" s="1716"/>
      <c r="L66" s="1716"/>
      <c r="M66" s="1716"/>
      <c r="N66" s="1716"/>
      <c r="O66" s="1716"/>
      <c r="P66" s="1716"/>
      <c r="Q66" s="1716"/>
      <c r="R66" s="1716"/>
      <c r="S66" s="1716"/>
      <c r="T66" s="1716"/>
      <c r="U66" s="1717"/>
    </row>
    <row r="67" spans="2:21" x14ac:dyDescent="0.3">
      <c r="B67" s="844" t="s">
        <v>1252</v>
      </c>
      <c r="C67" s="845" t="s">
        <v>1253</v>
      </c>
      <c r="D67" s="1715"/>
      <c r="E67" s="1716"/>
      <c r="F67" s="1716"/>
      <c r="G67" s="1716"/>
      <c r="H67" s="1716"/>
      <c r="I67" s="1716"/>
      <c r="J67" s="1716"/>
      <c r="K67" s="1716"/>
      <c r="L67" s="1716"/>
      <c r="M67" s="1716"/>
      <c r="N67" s="1716"/>
      <c r="O67" s="1716"/>
      <c r="P67" s="1716"/>
      <c r="Q67" s="1716"/>
      <c r="R67" s="1716"/>
      <c r="S67" s="1716"/>
      <c r="T67" s="1716"/>
      <c r="U67" s="1717"/>
    </row>
    <row r="68" spans="2:21" x14ac:dyDescent="0.3">
      <c r="B68" s="844" t="s">
        <v>1254</v>
      </c>
      <c r="C68" s="845" t="s">
        <v>1255</v>
      </c>
      <c r="D68" s="1715"/>
      <c r="E68" s="1716"/>
      <c r="F68" s="1716"/>
      <c r="G68" s="1716"/>
      <c r="H68" s="1716"/>
      <c r="I68" s="1716"/>
      <c r="J68" s="1716"/>
      <c r="K68" s="1716"/>
      <c r="L68" s="1716"/>
      <c r="M68" s="1716"/>
      <c r="N68" s="1716"/>
      <c r="O68" s="1716"/>
      <c r="P68" s="1716"/>
      <c r="Q68" s="1716"/>
      <c r="R68" s="1716"/>
      <c r="S68" s="1716"/>
      <c r="T68" s="1716"/>
      <c r="U68" s="1717"/>
    </row>
    <row r="69" spans="2:21" x14ac:dyDescent="0.3">
      <c r="B69" s="844" t="s">
        <v>1256</v>
      </c>
      <c r="C69" s="845" t="s">
        <v>1257</v>
      </c>
      <c r="D69" s="1715"/>
      <c r="E69" s="1716"/>
      <c r="F69" s="1716"/>
      <c r="G69" s="1716"/>
      <c r="H69" s="1716"/>
      <c r="I69" s="1716"/>
      <c r="J69" s="1716"/>
      <c r="K69" s="1716"/>
      <c r="L69" s="1716"/>
      <c r="M69" s="1716"/>
      <c r="N69" s="1716"/>
      <c r="O69" s="1716"/>
      <c r="P69" s="1716"/>
      <c r="Q69" s="1716"/>
      <c r="R69" s="1716"/>
      <c r="S69" s="1716"/>
      <c r="T69" s="1716"/>
      <c r="U69" s="1717"/>
    </row>
    <row r="70" spans="2:21" x14ac:dyDescent="0.3">
      <c r="B70" s="844" t="s">
        <v>1258</v>
      </c>
      <c r="C70" s="845" t="s">
        <v>1259</v>
      </c>
      <c r="D70" s="1715"/>
      <c r="E70" s="1716"/>
      <c r="F70" s="1716"/>
      <c r="G70" s="1716"/>
      <c r="H70" s="1716"/>
      <c r="I70" s="1716"/>
      <c r="J70" s="1716"/>
      <c r="K70" s="1716"/>
      <c r="L70" s="1716"/>
      <c r="M70" s="1716"/>
      <c r="N70" s="1716"/>
      <c r="O70" s="1716"/>
      <c r="P70" s="1716"/>
      <c r="Q70" s="1716"/>
      <c r="R70" s="1716"/>
      <c r="S70" s="1716"/>
      <c r="T70" s="1716"/>
      <c r="U70" s="1717"/>
    </row>
    <row r="71" spans="2:21" x14ac:dyDescent="0.3">
      <c r="B71" s="844" t="s">
        <v>1260</v>
      </c>
      <c r="C71" s="845" t="s">
        <v>1261</v>
      </c>
      <c r="D71" s="1715"/>
      <c r="E71" s="1716"/>
      <c r="F71" s="1716"/>
      <c r="G71" s="1716"/>
      <c r="H71" s="1716"/>
      <c r="I71" s="1716"/>
      <c r="J71" s="1716"/>
      <c r="K71" s="1716"/>
      <c r="L71" s="1716"/>
      <c r="M71" s="1716"/>
      <c r="N71" s="1716"/>
      <c r="O71" s="1716"/>
      <c r="P71" s="1716"/>
      <c r="Q71" s="1716"/>
      <c r="R71" s="1716"/>
      <c r="S71" s="1716"/>
      <c r="T71" s="1716"/>
      <c r="U71" s="1717"/>
    </row>
    <row r="72" spans="2:21" x14ac:dyDescent="0.3">
      <c r="B72" s="844" t="s">
        <v>1262</v>
      </c>
      <c r="C72" s="845" t="s">
        <v>1263</v>
      </c>
      <c r="D72" s="1715"/>
      <c r="E72" s="1716"/>
      <c r="F72" s="1716"/>
      <c r="G72" s="1716"/>
      <c r="H72" s="1716"/>
      <c r="I72" s="1716"/>
      <c r="J72" s="1716"/>
      <c r="K72" s="1716"/>
      <c r="L72" s="1716"/>
      <c r="M72" s="1716"/>
      <c r="N72" s="1716"/>
      <c r="O72" s="1716"/>
      <c r="P72" s="1716"/>
      <c r="Q72" s="1716"/>
      <c r="R72" s="1716"/>
      <c r="S72" s="1716"/>
      <c r="T72" s="1716"/>
      <c r="U72" s="1717"/>
    </row>
    <row r="73" spans="2:21" x14ac:dyDescent="0.3">
      <c r="B73" s="844" t="s">
        <v>1264</v>
      </c>
      <c r="C73" s="845" t="s">
        <v>1265</v>
      </c>
      <c r="D73" s="1715"/>
      <c r="E73" s="1716"/>
      <c r="F73" s="1716"/>
      <c r="G73" s="1716"/>
      <c r="H73" s="1716"/>
      <c r="I73" s="1716"/>
      <c r="J73" s="1716"/>
      <c r="K73" s="1716"/>
      <c r="L73" s="1716"/>
      <c r="M73" s="1716"/>
      <c r="N73" s="1716"/>
      <c r="O73" s="1716"/>
      <c r="P73" s="1716"/>
      <c r="Q73" s="1716"/>
      <c r="R73" s="1716"/>
      <c r="S73" s="1716"/>
      <c r="T73" s="1716"/>
      <c r="U73" s="1717"/>
    </row>
    <row r="74" spans="2:21" x14ac:dyDescent="0.3">
      <c r="B74" s="844" t="s">
        <v>1266</v>
      </c>
      <c r="C74" s="845" t="s">
        <v>1267</v>
      </c>
      <c r="D74" s="1715"/>
      <c r="E74" s="1716"/>
      <c r="F74" s="1716"/>
      <c r="G74" s="1716"/>
      <c r="H74" s="1716"/>
      <c r="I74" s="1716"/>
      <c r="J74" s="1716"/>
      <c r="K74" s="1716"/>
      <c r="L74" s="1716"/>
      <c r="M74" s="1716"/>
      <c r="N74" s="1716"/>
      <c r="O74" s="1716"/>
      <c r="P74" s="1716"/>
      <c r="Q74" s="1716"/>
      <c r="R74" s="1716"/>
      <c r="S74" s="1716"/>
      <c r="T74" s="1716"/>
      <c r="U74" s="1717"/>
    </row>
    <row r="75" spans="2:21" x14ac:dyDescent="0.3">
      <c r="B75" s="844" t="s">
        <v>1268</v>
      </c>
      <c r="C75" s="845" t="s">
        <v>1269</v>
      </c>
      <c r="D75" s="1715"/>
      <c r="E75" s="1716"/>
      <c r="F75" s="1716"/>
      <c r="G75" s="1716"/>
      <c r="H75" s="1716"/>
      <c r="I75" s="1716"/>
      <c r="J75" s="1716"/>
      <c r="K75" s="1716"/>
      <c r="L75" s="1716"/>
      <c r="M75" s="1716"/>
      <c r="N75" s="1716"/>
      <c r="O75" s="1716"/>
      <c r="P75" s="1716"/>
      <c r="Q75" s="1716"/>
      <c r="R75" s="1716"/>
      <c r="S75" s="1716"/>
      <c r="T75" s="1716"/>
      <c r="U75" s="1717"/>
    </row>
    <row r="76" spans="2:21" x14ac:dyDescent="0.3">
      <c r="B76" s="844" t="s">
        <v>1270</v>
      </c>
      <c r="C76" s="845" t="s">
        <v>1271</v>
      </c>
      <c r="D76" s="1715"/>
      <c r="E76" s="1716"/>
      <c r="F76" s="1716"/>
      <c r="G76" s="1716"/>
      <c r="H76" s="1716"/>
      <c r="I76" s="1716"/>
      <c r="J76" s="1716"/>
      <c r="K76" s="1716"/>
      <c r="L76" s="1716"/>
      <c r="M76" s="1716"/>
      <c r="N76" s="1716"/>
      <c r="O76" s="1716"/>
      <c r="P76" s="1716"/>
      <c r="Q76" s="1716"/>
      <c r="R76" s="1716"/>
      <c r="S76" s="1716"/>
      <c r="T76" s="1716"/>
      <c r="U76" s="1717"/>
    </row>
    <row r="77" spans="2:21" x14ac:dyDescent="0.3">
      <c r="B77" s="844" t="s">
        <v>1272</v>
      </c>
      <c r="C77" s="845" t="s">
        <v>865</v>
      </c>
      <c r="D77" s="1715"/>
      <c r="E77" s="1716"/>
      <c r="F77" s="1716"/>
      <c r="G77" s="1716"/>
      <c r="H77" s="1716"/>
      <c r="I77" s="1716"/>
      <c r="J77" s="1716"/>
      <c r="K77" s="1716"/>
      <c r="L77" s="1716"/>
      <c r="M77" s="1716"/>
      <c r="N77" s="1716"/>
      <c r="O77" s="1716"/>
      <c r="P77" s="1716"/>
      <c r="Q77" s="1716"/>
      <c r="R77" s="1716"/>
      <c r="S77" s="1716"/>
      <c r="T77" s="1716"/>
      <c r="U77" s="1717"/>
    </row>
    <row r="78" spans="2:21" x14ac:dyDescent="0.3">
      <c r="B78" s="844" t="s">
        <v>1273</v>
      </c>
      <c r="C78" s="845" t="s">
        <v>1274</v>
      </c>
      <c r="D78" s="1715"/>
      <c r="E78" s="1716"/>
      <c r="F78" s="1716"/>
      <c r="G78" s="1716"/>
      <c r="H78" s="1716"/>
      <c r="I78" s="1716"/>
      <c r="J78" s="1716"/>
      <c r="K78" s="1716"/>
      <c r="L78" s="1716"/>
      <c r="M78" s="1716"/>
      <c r="N78" s="1716"/>
      <c r="O78" s="1716"/>
      <c r="P78" s="1716"/>
      <c r="Q78" s="1716"/>
      <c r="R78" s="1716"/>
      <c r="S78" s="1716"/>
      <c r="T78" s="1716"/>
      <c r="U78" s="1717"/>
    </row>
    <row r="79" spans="2:21" x14ac:dyDescent="0.3">
      <c r="B79" s="844" t="s">
        <v>1275</v>
      </c>
      <c r="C79" s="845" t="s">
        <v>1276</v>
      </c>
      <c r="D79" s="1715"/>
      <c r="E79" s="1716"/>
      <c r="F79" s="1716"/>
      <c r="G79" s="1716"/>
      <c r="H79" s="1716"/>
      <c r="I79" s="1716"/>
      <c r="J79" s="1716"/>
      <c r="K79" s="1716"/>
      <c r="L79" s="1716"/>
      <c r="M79" s="1716"/>
      <c r="N79" s="1716"/>
      <c r="O79" s="1716"/>
      <c r="P79" s="1716"/>
      <c r="Q79" s="1716"/>
      <c r="R79" s="1716"/>
      <c r="S79" s="1716"/>
      <c r="T79" s="1716"/>
      <c r="U79" s="1717"/>
    </row>
    <row r="80" spans="2:21" s="782" customFormat="1" x14ac:dyDescent="0.3">
      <c r="B80" s="843"/>
      <c r="C80" s="847" t="s">
        <v>1277</v>
      </c>
      <c r="D80" s="1715"/>
      <c r="E80" s="1716"/>
      <c r="F80" s="1716"/>
      <c r="G80" s="1716"/>
      <c r="H80" s="1716"/>
      <c r="I80" s="1716"/>
      <c r="J80" s="1716"/>
      <c r="K80" s="1716"/>
      <c r="L80" s="1716"/>
      <c r="M80" s="1716"/>
      <c r="N80" s="1716"/>
      <c r="O80" s="1716"/>
      <c r="P80" s="1716"/>
      <c r="Q80" s="1716"/>
      <c r="R80" s="1716"/>
      <c r="S80" s="1716"/>
      <c r="T80" s="1716"/>
      <c r="U80" s="1717"/>
    </row>
    <row r="81" spans="2:21" s="782" customFormat="1" x14ac:dyDescent="0.3">
      <c r="B81" s="843"/>
      <c r="C81" s="847"/>
      <c r="D81" s="1715"/>
      <c r="E81" s="1716"/>
      <c r="F81" s="1716"/>
      <c r="G81" s="1716"/>
      <c r="H81" s="1716"/>
      <c r="I81" s="1716"/>
      <c r="J81" s="1716"/>
      <c r="K81" s="1716"/>
      <c r="L81" s="1716"/>
      <c r="M81" s="1716"/>
      <c r="N81" s="1716"/>
      <c r="O81" s="1716"/>
      <c r="P81" s="1716"/>
      <c r="Q81" s="1716"/>
      <c r="R81" s="1716"/>
      <c r="S81" s="1716"/>
      <c r="T81" s="1716"/>
      <c r="U81" s="1717"/>
    </row>
    <row r="82" spans="2:21" s="782" customFormat="1" x14ac:dyDescent="0.3">
      <c r="B82" s="843">
        <v>2.4</v>
      </c>
      <c r="C82" s="842" t="s">
        <v>1278</v>
      </c>
      <c r="D82" s="1715"/>
      <c r="E82" s="1716"/>
      <c r="F82" s="1716"/>
      <c r="G82" s="1716"/>
      <c r="H82" s="1716"/>
      <c r="I82" s="1716"/>
      <c r="J82" s="1716"/>
      <c r="K82" s="1716"/>
      <c r="L82" s="1716"/>
      <c r="M82" s="1716"/>
      <c r="N82" s="1716"/>
      <c r="O82" s="1716"/>
      <c r="P82" s="1716"/>
      <c r="Q82" s="1716"/>
      <c r="R82" s="1716"/>
      <c r="S82" s="1716"/>
      <c r="T82" s="1716"/>
      <c r="U82" s="1717"/>
    </row>
    <row r="83" spans="2:21" x14ac:dyDescent="0.3">
      <c r="B83" s="844" t="s">
        <v>358</v>
      </c>
      <c r="C83" s="845" t="s">
        <v>1279</v>
      </c>
      <c r="D83" s="1715"/>
      <c r="E83" s="1716"/>
      <c r="F83" s="1716"/>
      <c r="G83" s="1716"/>
      <c r="H83" s="1716"/>
      <c r="I83" s="1716"/>
      <c r="J83" s="1716"/>
      <c r="K83" s="1716"/>
      <c r="L83" s="1716"/>
      <c r="M83" s="1716"/>
      <c r="N83" s="1716"/>
      <c r="O83" s="1716"/>
      <c r="P83" s="1716"/>
      <c r="Q83" s="1716"/>
      <c r="R83" s="1716"/>
      <c r="S83" s="1716"/>
      <c r="T83" s="1716"/>
      <c r="U83" s="1717"/>
    </row>
    <row r="84" spans="2:21" x14ac:dyDescent="0.3">
      <c r="B84" s="844" t="s">
        <v>359</v>
      </c>
      <c r="C84" s="845" t="s">
        <v>1280</v>
      </c>
      <c r="D84" s="1715"/>
      <c r="E84" s="1716"/>
      <c r="F84" s="1716"/>
      <c r="G84" s="1716"/>
      <c r="H84" s="1716"/>
      <c r="I84" s="1716"/>
      <c r="J84" s="1716"/>
      <c r="K84" s="1716"/>
      <c r="L84" s="1716"/>
      <c r="M84" s="1716"/>
      <c r="N84" s="1716"/>
      <c r="O84" s="1716"/>
      <c r="P84" s="1716"/>
      <c r="Q84" s="1716"/>
      <c r="R84" s="1716"/>
      <c r="S84" s="1716"/>
      <c r="T84" s="1716"/>
      <c r="U84" s="1717"/>
    </row>
    <row r="85" spans="2:21" x14ac:dyDescent="0.3">
      <c r="B85" s="844" t="s">
        <v>360</v>
      </c>
      <c r="C85" s="845" t="s">
        <v>1281</v>
      </c>
      <c r="D85" s="1715"/>
      <c r="E85" s="1716"/>
      <c r="F85" s="1716"/>
      <c r="G85" s="1716"/>
      <c r="H85" s="1716"/>
      <c r="I85" s="1716"/>
      <c r="J85" s="1716"/>
      <c r="K85" s="1716"/>
      <c r="L85" s="1716"/>
      <c r="M85" s="1716"/>
      <c r="N85" s="1716"/>
      <c r="O85" s="1716"/>
      <c r="P85" s="1716"/>
      <c r="Q85" s="1716"/>
      <c r="R85" s="1716"/>
      <c r="S85" s="1716"/>
      <c r="T85" s="1716"/>
      <c r="U85" s="1717"/>
    </row>
    <row r="86" spans="2:21" x14ac:dyDescent="0.3">
      <c r="B86" s="844" t="s">
        <v>1282</v>
      </c>
      <c r="C86" s="845" t="s">
        <v>1283</v>
      </c>
      <c r="D86" s="1715"/>
      <c r="E86" s="1716"/>
      <c r="F86" s="1716"/>
      <c r="G86" s="1716"/>
      <c r="H86" s="1716"/>
      <c r="I86" s="1716"/>
      <c r="J86" s="1716"/>
      <c r="K86" s="1716"/>
      <c r="L86" s="1716"/>
      <c r="M86" s="1716"/>
      <c r="N86" s="1716"/>
      <c r="O86" s="1716"/>
      <c r="P86" s="1716"/>
      <c r="Q86" s="1716"/>
      <c r="R86" s="1716"/>
      <c r="S86" s="1716"/>
      <c r="T86" s="1716"/>
      <c r="U86" s="1717"/>
    </row>
    <row r="87" spans="2:21" x14ac:dyDescent="0.3">
      <c r="B87" s="844" t="s">
        <v>1284</v>
      </c>
      <c r="C87" s="845" t="s">
        <v>1285</v>
      </c>
      <c r="D87" s="1715"/>
      <c r="E87" s="1716"/>
      <c r="F87" s="1716"/>
      <c r="G87" s="1716"/>
      <c r="H87" s="1716"/>
      <c r="I87" s="1716"/>
      <c r="J87" s="1716"/>
      <c r="K87" s="1716"/>
      <c r="L87" s="1716"/>
      <c r="M87" s="1716"/>
      <c r="N87" s="1716"/>
      <c r="O87" s="1716"/>
      <c r="P87" s="1716"/>
      <c r="Q87" s="1716"/>
      <c r="R87" s="1716"/>
      <c r="S87" s="1716"/>
      <c r="T87" s="1716"/>
      <c r="U87" s="1717"/>
    </row>
    <row r="88" spans="2:21" x14ac:dyDescent="0.3">
      <c r="B88" s="844" t="s">
        <v>1286</v>
      </c>
      <c r="C88" s="845" t="s">
        <v>1287</v>
      </c>
      <c r="D88" s="1715"/>
      <c r="E88" s="1716"/>
      <c r="F88" s="1716"/>
      <c r="G88" s="1716"/>
      <c r="H88" s="1716"/>
      <c r="I88" s="1716"/>
      <c r="J88" s="1716"/>
      <c r="K88" s="1716"/>
      <c r="L88" s="1716"/>
      <c r="M88" s="1716"/>
      <c r="N88" s="1716"/>
      <c r="O88" s="1716"/>
      <c r="P88" s="1716"/>
      <c r="Q88" s="1716"/>
      <c r="R88" s="1716"/>
      <c r="S88" s="1716"/>
      <c r="T88" s="1716"/>
      <c r="U88" s="1717"/>
    </row>
    <row r="89" spans="2:21" x14ac:dyDescent="0.3">
      <c r="B89" s="844" t="s">
        <v>1288</v>
      </c>
      <c r="C89" s="845" t="s">
        <v>1289</v>
      </c>
      <c r="D89" s="1715"/>
      <c r="E89" s="1716"/>
      <c r="F89" s="1716"/>
      <c r="G89" s="1716"/>
      <c r="H89" s="1716"/>
      <c r="I89" s="1716"/>
      <c r="J89" s="1716"/>
      <c r="K89" s="1716"/>
      <c r="L89" s="1716"/>
      <c r="M89" s="1716"/>
      <c r="N89" s="1716"/>
      <c r="O89" s="1716"/>
      <c r="P89" s="1716"/>
      <c r="Q89" s="1716"/>
      <c r="R89" s="1716"/>
      <c r="S89" s="1716"/>
      <c r="T89" s="1716"/>
      <c r="U89" s="1717"/>
    </row>
    <row r="90" spans="2:21" x14ac:dyDescent="0.3">
      <c r="B90" s="844" t="s">
        <v>1290</v>
      </c>
      <c r="C90" s="845" t="s">
        <v>1291</v>
      </c>
      <c r="D90" s="1715"/>
      <c r="E90" s="1716"/>
      <c r="F90" s="1716"/>
      <c r="G90" s="1716"/>
      <c r="H90" s="1716"/>
      <c r="I90" s="1716"/>
      <c r="J90" s="1716"/>
      <c r="K90" s="1716"/>
      <c r="L90" s="1716"/>
      <c r="M90" s="1716"/>
      <c r="N90" s="1716"/>
      <c r="O90" s="1716"/>
      <c r="P90" s="1716"/>
      <c r="Q90" s="1716"/>
      <c r="R90" s="1716"/>
      <c r="S90" s="1716"/>
      <c r="T90" s="1716"/>
      <c r="U90" s="1717"/>
    </row>
    <row r="91" spans="2:21" x14ac:dyDescent="0.3">
      <c r="B91" s="844" t="s">
        <v>1292</v>
      </c>
      <c r="C91" s="845" t="s">
        <v>1293</v>
      </c>
      <c r="D91" s="1715"/>
      <c r="E91" s="1716"/>
      <c r="F91" s="1716"/>
      <c r="G91" s="1716"/>
      <c r="H91" s="1716"/>
      <c r="I91" s="1716"/>
      <c r="J91" s="1716"/>
      <c r="K91" s="1716"/>
      <c r="L91" s="1716"/>
      <c r="M91" s="1716"/>
      <c r="N91" s="1716"/>
      <c r="O91" s="1716"/>
      <c r="P91" s="1716"/>
      <c r="Q91" s="1716"/>
      <c r="R91" s="1716"/>
      <c r="S91" s="1716"/>
      <c r="T91" s="1716"/>
      <c r="U91" s="1717"/>
    </row>
    <row r="92" spans="2:21" x14ac:dyDescent="0.3">
      <c r="B92" s="844" t="s">
        <v>1294</v>
      </c>
      <c r="C92" s="845" t="s">
        <v>1295</v>
      </c>
      <c r="D92" s="1715"/>
      <c r="E92" s="1716"/>
      <c r="F92" s="1716"/>
      <c r="G92" s="1716"/>
      <c r="H92" s="1716"/>
      <c r="I92" s="1716"/>
      <c r="J92" s="1716"/>
      <c r="K92" s="1716"/>
      <c r="L92" s="1716"/>
      <c r="M92" s="1716"/>
      <c r="N92" s="1716"/>
      <c r="O92" s="1716"/>
      <c r="P92" s="1716"/>
      <c r="Q92" s="1716"/>
      <c r="R92" s="1716"/>
      <c r="S92" s="1716"/>
      <c r="T92" s="1716"/>
      <c r="U92" s="1717"/>
    </row>
    <row r="93" spans="2:21" x14ac:dyDescent="0.3">
      <c r="B93" s="844" t="s">
        <v>1296</v>
      </c>
      <c r="C93" s="845" t="s">
        <v>1297</v>
      </c>
      <c r="D93" s="1715"/>
      <c r="E93" s="1716"/>
      <c r="F93" s="1716"/>
      <c r="G93" s="1716"/>
      <c r="H93" s="1716"/>
      <c r="I93" s="1716"/>
      <c r="J93" s="1716"/>
      <c r="K93" s="1716"/>
      <c r="L93" s="1716"/>
      <c r="M93" s="1716"/>
      <c r="N93" s="1716"/>
      <c r="O93" s="1716"/>
      <c r="P93" s="1716"/>
      <c r="Q93" s="1716"/>
      <c r="R93" s="1716"/>
      <c r="S93" s="1716"/>
      <c r="T93" s="1716"/>
      <c r="U93" s="1717"/>
    </row>
    <row r="94" spans="2:21" x14ac:dyDescent="0.3">
      <c r="B94" s="844" t="s">
        <v>1298</v>
      </c>
      <c r="C94" s="845" t="s">
        <v>1299</v>
      </c>
      <c r="D94" s="1715"/>
      <c r="E94" s="1716"/>
      <c r="F94" s="1716"/>
      <c r="G94" s="1716"/>
      <c r="H94" s="1716"/>
      <c r="I94" s="1716"/>
      <c r="J94" s="1716"/>
      <c r="K94" s="1716"/>
      <c r="L94" s="1716"/>
      <c r="M94" s="1716"/>
      <c r="N94" s="1716"/>
      <c r="O94" s="1716"/>
      <c r="P94" s="1716"/>
      <c r="Q94" s="1716"/>
      <c r="R94" s="1716"/>
      <c r="S94" s="1716"/>
      <c r="T94" s="1716"/>
      <c r="U94" s="1717"/>
    </row>
    <row r="95" spans="2:21" x14ac:dyDescent="0.3">
      <c r="B95" s="844" t="s">
        <v>1300</v>
      </c>
      <c r="C95" s="845" t="s">
        <v>1301</v>
      </c>
      <c r="D95" s="1715"/>
      <c r="E95" s="1716"/>
      <c r="F95" s="1716"/>
      <c r="G95" s="1716"/>
      <c r="H95" s="1716"/>
      <c r="I95" s="1716"/>
      <c r="J95" s="1716"/>
      <c r="K95" s="1716"/>
      <c r="L95" s="1716"/>
      <c r="M95" s="1716"/>
      <c r="N95" s="1716"/>
      <c r="O95" s="1716"/>
      <c r="P95" s="1716"/>
      <c r="Q95" s="1716"/>
      <c r="R95" s="1716"/>
      <c r="S95" s="1716"/>
      <c r="T95" s="1716"/>
      <c r="U95" s="1717"/>
    </row>
    <row r="96" spans="2:21" x14ac:dyDescent="0.3">
      <c r="B96" s="844" t="s">
        <v>1302</v>
      </c>
      <c r="C96" s="845" t="s">
        <v>1303</v>
      </c>
      <c r="D96" s="1715"/>
      <c r="E96" s="1716"/>
      <c r="F96" s="1716"/>
      <c r="G96" s="1716"/>
      <c r="H96" s="1716"/>
      <c r="I96" s="1716"/>
      <c r="J96" s="1716"/>
      <c r="K96" s="1716"/>
      <c r="L96" s="1716"/>
      <c r="M96" s="1716"/>
      <c r="N96" s="1716"/>
      <c r="O96" s="1716"/>
      <c r="P96" s="1716"/>
      <c r="Q96" s="1716"/>
      <c r="R96" s="1716"/>
      <c r="S96" s="1716"/>
      <c r="T96" s="1716"/>
      <c r="U96" s="1717"/>
    </row>
    <row r="97" spans="2:21" x14ac:dyDescent="0.3">
      <c r="B97" s="844" t="s">
        <v>1304</v>
      </c>
      <c r="C97" s="845" t="s">
        <v>1305</v>
      </c>
      <c r="D97" s="1715"/>
      <c r="E97" s="1716"/>
      <c r="F97" s="1716"/>
      <c r="G97" s="1716"/>
      <c r="H97" s="1716"/>
      <c r="I97" s="1716"/>
      <c r="J97" s="1716"/>
      <c r="K97" s="1716"/>
      <c r="L97" s="1716"/>
      <c r="M97" s="1716"/>
      <c r="N97" s="1716"/>
      <c r="O97" s="1716"/>
      <c r="P97" s="1716"/>
      <c r="Q97" s="1716"/>
      <c r="R97" s="1716"/>
      <c r="S97" s="1716"/>
      <c r="T97" s="1716"/>
      <c r="U97" s="1717"/>
    </row>
    <row r="98" spans="2:21" s="782" customFormat="1" x14ac:dyDescent="0.3">
      <c r="B98" s="843" t="s">
        <v>1306</v>
      </c>
      <c r="C98" s="842" t="s">
        <v>1307</v>
      </c>
      <c r="D98" s="1715"/>
      <c r="E98" s="1716"/>
      <c r="F98" s="1716"/>
      <c r="G98" s="1716"/>
      <c r="H98" s="1716"/>
      <c r="I98" s="1716"/>
      <c r="J98" s="1716"/>
      <c r="K98" s="1716"/>
      <c r="L98" s="1716"/>
      <c r="M98" s="1716"/>
      <c r="N98" s="1716"/>
      <c r="O98" s="1716"/>
      <c r="P98" s="1716"/>
      <c r="Q98" s="1716"/>
      <c r="R98" s="1716"/>
      <c r="S98" s="1716"/>
      <c r="T98" s="1716"/>
      <c r="U98" s="1717"/>
    </row>
    <row r="99" spans="2:21" s="782" customFormat="1" x14ac:dyDescent="0.3">
      <c r="B99" s="843"/>
      <c r="C99" s="842" t="s">
        <v>1308</v>
      </c>
      <c r="D99" s="1715"/>
      <c r="E99" s="1716"/>
      <c r="F99" s="1716"/>
      <c r="G99" s="1716"/>
      <c r="H99" s="1716"/>
      <c r="I99" s="1716"/>
      <c r="J99" s="1716"/>
      <c r="K99" s="1716"/>
      <c r="L99" s="1716"/>
      <c r="M99" s="1716"/>
      <c r="N99" s="1716"/>
      <c r="O99" s="1716"/>
      <c r="P99" s="1716"/>
      <c r="Q99" s="1716"/>
      <c r="R99" s="1716"/>
      <c r="S99" s="1716"/>
      <c r="T99" s="1716"/>
      <c r="U99" s="1717"/>
    </row>
    <row r="100" spans="2:21" s="782" customFormat="1" x14ac:dyDescent="0.3">
      <c r="B100" s="843"/>
      <c r="C100" s="842"/>
      <c r="D100" s="1715"/>
      <c r="E100" s="1716"/>
      <c r="F100" s="1716"/>
      <c r="G100" s="1716"/>
      <c r="H100" s="1716"/>
      <c r="I100" s="1716"/>
      <c r="J100" s="1716"/>
      <c r="K100" s="1716"/>
      <c r="L100" s="1716"/>
      <c r="M100" s="1716"/>
      <c r="N100" s="1716"/>
      <c r="O100" s="1716"/>
      <c r="P100" s="1716"/>
      <c r="Q100" s="1716"/>
      <c r="R100" s="1716"/>
      <c r="S100" s="1716"/>
      <c r="T100" s="1716"/>
      <c r="U100" s="1717"/>
    </row>
    <row r="101" spans="2:21" s="782" customFormat="1" x14ac:dyDescent="0.3">
      <c r="B101" s="843">
        <v>2.5</v>
      </c>
      <c r="C101" s="847" t="s">
        <v>1309</v>
      </c>
      <c r="D101" s="1715"/>
      <c r="E101" s="1716"/>
      <c r="F101" s="1716"/>
      <c r="G101" s="1716"/>
      <c r="H101" s="1716"/>
      <c r="I101" s="1716"/>
      <c r="J101" s="1716"/>
      <c r="K101" s="1716"/>
      <c r="L101" s="1716"/>
      <c r="M101" s="1716"/>
      <c r="N101" s="1716"/>
      <c r="O101" s="1716"/>
      <c r="P101" s="1716"/>
      <c r="Q101" s="1716"/>
      <c r="R101" s="1716"/>
      <c r="S101" s="1716"/>
      <c r="T101" s="1716"/>
      <c r="U101" s="1717"/>
    </row>
    <row r="102" spans="2:21" x14ac:dyDescent="0.3">
      <c r="B102" s="848" t="s">
        <v>417</v>
      </c>
      <c r="C102" s="845" t="s">
        <v>1310</v>
      </c>
      <c r="D102" s="1715"/>
      <c r="E102" s="1716"/>
      <c r="F102" s="1716"/>
      <c r="G102" s="1716"/>
      <c r="H102" s="1716"/>
      <c r="I102" s="1716"/>
      <c r="J102" s="1716"/>
      <c r="K102" s="1716"/>
      <c r="L102" s="1716"/>
      <c r="M102" s="1716"/>
      <c r="N102" s="1716"/>
      <c r="O102" s="1716"/>
      <c r="P102" s="1716"/>
      <c r="Q102" s="1716"/>
      <c r="R102" s="1716"/>
      <c r="S102" s="1716"/>
      <c r="T102" s="1716"/>
      <c r="U102" s="1717"/>
    </row>
    <row r="103" spans="2:21" x14ac:dyDescent="0.3">
      <c r="B103" s="848" t="s">
        <v>420</v>
      </c>
      <c r="C103" s="845" t="s">
        <v>1311</v>
      </c>
      <c r="D103" s="1715"/>
      <c r="E103" s="1716"/>
      <c r="F103" s="1716"/>
      <c r="G103" s="1716"/>
      <c r="H103" s="1716"/>
      <c r="I103" s="1716"/>
      <c r="J103" s="1716"/>
      <c r="K103" s="1716"/>
      <c r="L103" s="1716"/>
      <c r="M103" s="1716"/>
      <c r="N103" s="1716"/>
      <c r="O103" s="1716"/>
      <c r="P103" s="1716"/>
      <c r="Q103" s="1716"/>
      <c r="R103" s="1716"/>
      <c r="S103" s="1716"/>
      <c r="T103" s="1716"/>
      <c r="U103" s="1717"/>
    </row>
    <row r="104" spans="2:21" s="782" customFormat="1" x14ac:dyDescent="0.3">
      <c r="B104" s="843" t="s">
        <v>421</v>
      </c>
      <c r="C104" s="849" t="s">
        <v>1312</v>
      </c>
      <c r="D104" s="1715"/>
      <c r="E104" s="1716"/>
      <c r="F104" s="1716"/>
      <c r="G104" s="1716"/>
      <c r="H104" s="1716"/>
      <c r="I104" s="1716"/>
      <c r="J104" s="1716"/>
      <c r="K104" s="1716"/>
      <c r="L104" s="1716"/>
      <c r="M104" s="1716"/>
      <c r="N104" s="1716"/>
      <c r="O104" s="1716"/>
      <c r="P104" s="1716"/>
      <c r="Q104" s="1716"/>
      <c r="R104" s="1716"/>
      <c r="S104" s="1716"/>
      <c r="T104" s="1716"/>
      <c r="U104" s="1717"/>
    </row>
    <row r="105" spans="2:21" s="782" customFormat="1" x14ac:dyDescent="0.3">
      <c r="B105" s="843"/>
      <c r="C105" s="849"/>
      <c r="D105" s="1715"/>
      <c r="E105" s="1716"/>
      <c r="F105" s="1716"/>
      <c r="G105" s="1716"/>
      <c r="H105" s="1716"/>
      <c r="I105" s="1716"/>
      <c r="J105" s="1716"/>
      <c r="K105" s="1716"/>
      <c r="L105" s="1716"/>
      <c r="M105" s="1716"/>
      <c r="N105" s="1716"/>
      <c r="O105" s="1716"/>
      <c r="P105" s="1716"/>
      <c r="Q105" s="1716"/>
      <c r="R105" s="1716"/>
      <c r="S105" s="1716"/>
      <c r="T105" s="1716"/>
      <c r="U105" s="1717"/>
    </row>
    <row r="106" spans="2:21" s="782" customFormat="1" x14ac:dyDescent="0.3">
      <c r="B106" s="843">
        <v>2.6</v>
      </c>
      <c r="C106" s="842" t="s">
        <v>1313</v>
      </c>
      <c r="D106" s="1715"/>
      <c r="E106" s="1716"/>
      <c r="F106" s="1716"/>
      <c r="G106" s="1716"/>
      <c r="H106" s="1716"/>
      <c r="I106" s="1716"/>
      <c r="J106" s="1716"/>
      <c r="K106" s="1716"/>
      <c r="L106" s="1716"/>
      <c r="M106" s="1716"/>
      <c r="N106" s="1716"/>
      <c r="O106" s="1716"/>
      <c r="P106" s="1716"/>
      <c r="Q106" s="1716"/>
      <c r="R106" s="1716"/>
      <c r="S106" s="1716"/>
      <c r="T106" s="1716"/>
      <c r="U106" s="1717"/>
    </row>
    <row r="107" spans="2:21" x14ac:dyDescent="0.3">
      <c r="B107" s="844" t="s">
        <v>1314</v>
      </c>
      <c r="C107" s="839" t="s">
        <v>1315</v>
      </c>
      <c r="D107" s="1715"/>
      <c r="E107" s="1716"/>
      <c r="F107" s="1716"/>
      <c r="G107" s="1716"/>
      <c r="H107" s="1716"/>
      <c r="I107" s="1716"/>
      <c r="J107" s="1716"/>
      <c r="K107" s="1716"/>
      <c r="L107" s="1716"/>
      <c r="M107" s="1716"/>
      <c r="N107" s="1716"/>
      <c r="O107" s="1716"/>
      <c r="P107" s="1716"/>
      <c r="Q107" s="1716"/>
      <c r="R107" s="1716"/>
      <c r="S107" s="1716"/>
      <c r="T107" s="1716"/>
      <c r="U107" s="1717"/>
    </row>
    <row r="108" spans="2:21" x14ac:dyDescent="0.3">
      <c r="B108" s="844" t="s">
        <v>1316</v>
      </c>
      <c r="C108" s="839" t="s">
        <v>1317</v>
      </c>
      <c r="D108" s="1715"/>
      <c r="E108" s="1716"/>
      <c r="F108" s="1716"/>
      <c r="G108" s="1716"/>
      <c r="H108" s="1716"/>
      <c r="I108" s="1716"/>
      <c r="J108" s="1716"/>
      <c r="K108" s="1716"/>
      <c r="L108" s="1716"/>
      <c r="M108" s="1716"/>
      <c r="N108" s="1716"/>
      <c r="O108" s="1716"/>
      <c r="P108" s="1716"/>
      <c r="Q108" s="1716"/>
      <c r="R108" s="1716"/>
      <c r="S108" s="1716"/>
      <c r="T108" s="1716"/>
      <c r="U108" s="1717"/>
    </row>
    <row r="109" spans="2:21" s="782" customFormat="1" x14ac:dyDescent="0.3">
      <c r="B109" s="843" t="s">
        <v>1318</v>
      </c>
      <c r="C109" s="842" t="s">
        <v>1319</v>
      </c>
      <c r="D109" s="1715"/>
      <c r="E109" s="1716"/>
      <c r="F109" s="1716"/>
      <c r="G109" s="1716"/>
      <c r="H109" s="1716"/>
      <c r="I109" s="1716"/>
      <c r="J109" s="1716"/>
      <c r="K109" s="1716"/>
      <c r="L109" s="1716"/>
      <c r="M109" s="1716"/>
      <c r="N109" s="1716"/>
      <c r="O109" s="1716"/>
      <c r="P109" s="1716"/>
      <c r="Q109" s="1716"/>
      <c r="R109" s="1716"/>
      <c r="S109" s="1716"/>
      <c r="T109" s="1716"/>
      <c r="U109" s="1717"/>
    </row>
    <row r="110" spans="2:21" s="782" customFormat="1" x14ac:dyDescent="0.3">
      <c r="B110" s="843" t="s">
        <v>1320</v>
      </c>
      <c r="C110" s="842" t="s">
        <v>1321</v>
      </c>
      <c r="D110" s="1715"/>
      <c r="E110" s="1716"/>
      <c r="F110" s="1716"/>
      <c r="G110" s="1716"/>
      <c r="H110" s="1716"/>
      <c r="I110" s="1716"/>
      <c r="J110" s="1716"/>
      <c r="K110" s="1716"/>
      <c r="L110" s="1716"/>
      <c r="M110" s="1716"/>
      <c r="N110" s="1716"/>
      <c r="O110" s="1716"/>
      <c r="P110" s="1716"/>
      <c r="Q110" s="1716"/>
      <c r="R110" s="1716"/>
      <c r="S110" s="1716"/>
      <c r="T110" s="1716"/>
      <c r="U110" s="1717"/>
    </row>
    <row r="111" spans="2:21" s="782" customFormat="1" x14ac:dyDescent="0.3">
      <c r="B111" s="843"/>
      <c r="C111" s="842"/>
      <c r="D111" s="1715"/>
      <c r="E111" s="1716"/>
      <c r="F111" s="1716"/>
      <c r="G111" s="1716"/>
      <c r="H111" s="1716"/>
      <c r="I111" s="1716"/>
      <c r="J111" s="1716"/>
      <c r="K111" s="1716"/>
      <c r="L111" s="1716"/>
      <c r="M111" s="1716"/>
      <c r="N111" s="1716"/>
      <c r="O111" s="1716"/>
      <c r="P111" s="1716"/>
      <c r="Q111" s="1716"/>
      <c r="R111" s="1716"/>
      <c r="S111" s="1716"/>
      <c r="T111" s="1716"/>
      <c r="U111" s="1717"/>
    </row>
    <row r="112" spans="2:21" s="782" customFormat="1" x14ac:dyDescent="0.3">
      <c r="B112" s="843">
        <v>3</v>
      </c>
      <c r="C112" s="842" t="s">
        <v>1322</v>
      </c>
      <c r="D112" s="1715"/>
      <c r="E112" s="1716"/>
      <c r="F112" s="1716"/>
      <c r="G112" s="1716"/>
      <c r="H112" s="1716"/>
      <c r="I112" s="1716"/>
      <c r="J112" s="1716"/>
      <c r="K112" s="1716"/>
      <c r="L112" s="1716"/>
      <c r="M112" s="1716"/>
      <c r="N112" s="1716"/>
      <c r="O112" s="1716"/>
      <c r="P112" s="1716"/>
      <c r="Q112" s="1716"/>
      <c r="R112" s="1716"/>
      <c r="S112" s="1716"/>
      <c r="T112" s="1716"/>
      <c r="U112" s="1717"/>
    </row>
    <row r="113" spans="2:21" s="782" customFormat="1" x14ac:dyDescent="0.3">
      <c r="B113" s="850"/>
      <c r="C113" s="850"/>
      <c r="D113" s="1715"/>
      <c r="E113" s="1716"/>
      <c r="F113" s="1716"/>
      <c r="G113" s="1716"/>
      <c r="H113" s="1716"/>
      <c r="I113" s="1716"/>
      <c r="J113" s="1716"/>
      <c r="K113" s="1716"/>
      <c r="L113" s="1716"/>
      <c r="M113" s="1716"/>
      <c r="N113" s="1716"/>
      <c r="O113" s="1716"/>
      <c r="P113" s="1716"/>
      <c r="Q113" s="1716"/>
      <c r="R113" s="1716"/>
      <c r="S113" s="1716"/>
      <c r="T113" s="1716"/>
      <c r="U113" s="1717"/>
    </row>
    <row r="114" spans="2:21" s="782" customFormat="1" x14ac:dyDescent="0.3">
      <c r="B114" s="843">
        <v>4</v>
      </c>
      <c r="C114" s="842" t="s">
        <v>1323</v>
      </c>
      <c r="D114" s="1715"/>
      <c r="E114" s="1716"/>
      <c r="F114" s="1716"/>
      <c r="G114" s="1716"/>
      <c r="H114" s="1716"/>
      <c r="I114" s="1716"/>
      <c r="J114" s="1716"/>
      <c r="K114" s="1716"/>
      <c r="L114" s="1716"/>
      <c r="M114" s="1716"/>
      <c r="N114" s="1716"/>
      <c r="O114" s="1716"/>
      <c r="P114" s="1716"/>
      <c r="Q114" s="1716"/>
      <c r="R114" s="1716"/>
      <c r="S114" s="1716"/>
      <c r="T114" s="1716"/>
      <c r="U114" s="1717"/>
    </row>
    <row r="115" spans="2:21" x14ac:dyDescent="0.3">
      <c r="B115" s="844">
        <v>4.0999999999999996</v>
      </c>
      <c r="C115" s="839" t="s">
        <v>1324</v>
      </c>
      <c r="D115" s="1715"/>
      <c r="E115" s="1716"/>
      <c r="F115" s="1716"/>
      <c r="G115" s="1716"/>
      <c r="H115" s="1716"/>
      <c r="I115" s="1716"/>
      <c r="J115" s="1716"/>
      <c r="K115" s="1716"/>
      <c r="L115" s="1716"/>
      <c r="M115" s="1716"/>
      <c r="N115" s="1716"/>
      <c r="O115" s="1716"/>
      <c r="P115" s="1716"/>
      <c r="Q115" s="1716"/>
      <c r="R115" s="1716"/>
      <c r="S115" s="1716"/>
      <c r="T115" s="1716"/>
      <c r="U115" s="1717"/>
    </row>
    <row r="116" spans="2:21" x14ac:dyDescent="0.3">
      <c r="B116" s="844">
        <v>4.2</v>
      </c>
      <c r="C116" s="839" t="s">
        <v>1325</v>
      </c>
      <c r="D116" s="1715"/>
      <c r="E116" s="1716"/>
      <c r="F116" s="1716"/>
      <c r="G116" s="1716"/>
      <c r="H116" s="1716"/>
      <c r="I116" s="1716"/>
      <c r="J116" s="1716"/>
      <c r="K116" s="1716"/>
      <c r="L116" s="1716"/>
      <c r="M116" s="1716"/>
      <c r="N116" s="1716"/>
      <c r="O116" s="1716"/>
      <c r="P116" s="1716"/>
      <c r="Q116" s="1716"/>
      <c r="R116" s="1716"/>
      <c r="S116" s="1716"/>
      <c r="T116" s="1716"/>
      <c r="U116" s="1717"/>
    </row>
    <row r="117" spans="2:21" x14ac:dyDescent="0.3">
      <c r="B117" s="844">
        <v>4.3</v>
      </c>
      <c r="C117" s="845" t="s">
        <v>1326</v>
      </c>
      <c r="D117" s="1715"/>
      <c r="E117" s="1716"/>
      <c r="F117" s="1716"/>
      <c r="G117" s="1716"/>
      <c r="H117" s="1716"/>
      <c r="I117" s="1716"/>
      <c r="J117" s="1716"/>
      <c r="K117" s="1716"/>
      <c r="L117" s="1716"/>
      <c r="M117" s="1716"/>
      <c r="N117" s="1716"/>
      <c r="O117" s="1716"/>
      <c r="P117" s="1716"/>
      <c r="Q117" s="1716"/>
      <c r="R117" s="1716"/>
      <c r="S117" s="1716"/>
      <c r="T117" s="1716"/>
      <c r="U117" s="1717"/>
    </row>
    <row r="118" spans="2:21" x14ac:dyDescent="0.3">
      <c r="B118" s="844">
        <v>4.4000000000000004</v>
      </c>
      <c r="C118" s="845" t="s">
        <v>1327</v>
      </c>
      <c r="D118" s="1715"/>
      <c r="E118" s="1716"/>
      <c r="F118" s="1716"/>
      <c r="G118" s="1716"/>
      <c r="H118" s="1716"/>
      <c r="I118" s="1716"/>
      <c r="J118" s="1716"/>
      <c r="K118" s="1716"/>
      <c r="L118" s="1716"/>
      <c r="M118" s="1716"/>
      <c r="N118" s="1716"/>
      <c r="O118" s="1716"/>
      <c r="P118" s="1716"/>
      <c r="Q118" s="1716"/>
      <c r="R118" s="1716"/>
      <c r="S118" s="1716"/>
      <c r="T118" s="1716"/>
      <c r="U118" s="1717"/>
    </row>
    <row r="119" spans="2:21" x14ac:dyDescent="0.3">
      <c r="B119" s="844">
        <v>4.5</v>
      </c>
      <c r="C119" s="845" t="s">
        <v>1328</v>
      </c>
      <c r="D119" s="1715"/>
      <c r="E119" s="1716"/>
      <c r="F119" s="1716"/>
      <c r="G119" s="1716"/>
      <c r="H119" s="1716"/>
      <c r="I119" s="1716"/>
      <c r="J119" s="1716"/>
      <c r="K119" s="1716"/>
      <c r="L119" s="1716"/>
      <c r="M119" s="1716"/>
      <c r="N119" s="1716"/>
      <c r="O119" s="1716"/>
      <c r="P119" s="1716"/>
      <c r="Q119" s="1716"/>
      <c r="R119" s="1716"/>
      <c r="S119" s="1716"/>
      <c r="T119" s="1716"/>
      <c r="U119" s="1717"/>
    </row>
    <row r="120" spans="2:21" x14ac:dyDescent="0.3">
      <c r="B120" s="844">
        <v>4.5999999999999996</v>
      </c>
      <c r="C120" s="845" t="s">
        <v>1329</v>
      </c>
      <c r="D120" s="1715"/>
      <c r="E120" s="1716"/>
      <c r="F120" s="1716"/>
      <c r="G120" s="1716"/>
      <c r="H120" s="1716"/>
      <c r="I120" s="1716"/>
      <c r="J120" s="1716"/>
      <c r="K120" s="1716"/>
      <c r="L120" s="1716"/>
      <c r="M120" s="1716"/>
      <c r="N120" s="1716"/>
      <c r="O120" s="1716"/>
      <c r="P120" s="1716"/>
      <c r="Q120" s="1716"/>
      <c r="R120" s="1716"/>
      <c r="S120" s="1716"/>
      <c r="T120" s="1716"/>
      <c r="U120" s="1717"/>
    </row>
    <row r="121" spans="2:21" x14ac:dyDescent="0.3">
      <c r="B121" s="844">
        <v>4.7</v>
      </c>
      <c r="C121" s="845" t="s">
        <v>1330</v>
      </c>
      <c r="D121" s="1715"/>
      <c r="E121" s="1716"/>
      <c r="F121" s="1716"/>
      <c r="G121" s="1716"/>
      <c r="H121" s="1716"/>
      <c r="I121" s="1716"/>
      <c r="J121" s="1716"/>
      <c r="K121" s="1716"/>
      <c r="L121" s="1716"/>
      <c r="M121" s="1716"/>
      <c r="N121" s="1716"/>
      <c r="O121" s="1716"/>
      <c r="P121" s="1716"/>
      <c r="Q121" s="1716"/>
      <c r="R121" s="1716"/>
      <c r="S121" s="1716"/>
      <c r="T121" s="1716"/>
      <c r="U121" s="1717"/>
    </row>
    <row r="122" spans="2:21" x14ac:dyDescent="0.3">
      <c r="B122" s="844">
        <v>4.8</v>
      </c>
      <c r="C122" s="839" t="s">
        <v>1331</v>
      </c>
      <c r="D122" s="1715"/>
      <c r="E122" s="1716"/>
      <c r="F122" s="1716"/>
      <c r="G122" s="1716"/>
      <c r="H122" s="1716"/>
      <c r="I122" s="1716"/>
      <c r="J122" s="1716"/>
      <c r="K122" s="1716"/>
      <c r="L122" s="1716"/>
      <c r="M122" s="1716"/>
      <c r="N122" s="1716"/>
      <c r="O122" s="1716"/>
      <c r="P122" s="1716"/>
      <c r="Q122" s="1716"/>
      <c r="R122" s="1716"/>
      <c r="S122" s="1716"/>
      <c r="T122" s="1716"/>
      <c r="U122" s="1717"/>
    </row>
    <row r="123" spans="2:21" x14ac:dyDescent="0.3">
      <c r="B123" s="844">
        <v>4.9000000000000004</v>
      </c>
      <c r="C123" s="839" t="s">
        <v>1332</v>
      </c>
      <c r="D123" s="1715"/>
      <c r="E123" s="1716"/>
      <c r="F123" s="1716"/>
      <c r="G123" s="1716"/>
      <c r="H123" s="1716"/>
      <c r="I123" s="1716"/>
      <c r="J123" s="1716"/>
      <c r="K123" s="1716"/>
      <c r="L123" s="1716"/>
      <c r="M123" s="1716"/>
      <c r="N123" s="1716"/>
      <c r="O123" s="1716"/>
      <c r="P123" s="1716"/>
      <c r="Q123" s="1716"/>
      <c r="R123" s="1716"/>
      <c r="S123" s="1716"/>
      <c r="T123" s="1716"/>
      <c r="U123" s="1717"/>
    </row>
    <row r="124" spans="2:21" x14ac:dyDescent="0.3">
      <c r="B124" s="851">
        <v>4.0999999999999996</v>
      </c>
      <c r="C124" s="839" t="s">
        <v>1333</v>
      </c>
      <c r="D124" s="1715"/>
      <c r="E124" s="1716"/>
      <c r="F124" s="1716"/>
      <c r="G124" s="1716"/>
      <c r="H124" s="1716"/>
      <c r="I124" s="1716"/>
      <c r="J124" s="1716"/>
      <c r="K124" s="1716"/>
      <c r="L124" s="1716"/>
      <c r="M124" s="1716"/>
      <c r="N124" s="1716"/>
      <c r="O124" s="1716"/>
      <c r="P124" s="1716"/>
      <c r="Q124" s="1716"/>
      <c r="R124" s="1716"/>
      <c r="S124" s="1716"/>
      <c r="T124" s="1716"/>
      <c r="U124" s="1717"/>
    </row>
    <row r="125" spans="2:21" x14ac:dyDescent="0.3">
      <c r="B125" s="851">
        <v>4.1100000000000003</v>
      </c>
      <c r="C125" s="839" t="s">
        <v>1334</v>
      </c>
      <c r="D125" s="1715"/>
      <c r="E125" s="1716"/>
      <c r="F125" s="1716"/>
      <c r="G125" s="1716"/>
      <c r="H125" s="1716"/>
      <c r="I125" s="1716"/>
      <c r="J125" s="1716"/>
      <c r="K125" s="1716"/>
      <c r="L125" s="1716"/>
      <c r="M125" s="1716"/>
      <c r="N125" s="1716"/>
      <c r="O125" s="1716"/>
      <c r="P125" s="1716"/>
      <c r="Q125" s="1716"/>
      <c r="R125" s="1716"/>
      <c r="S125" s="1716"/>
      <c r="T125" s="1716"/>
      <c r="U125" s="1717"/>
    </row>
    <row r="126" spans="2:21" x14ac:dyDescent="0.3">
      <c r="B126" s="851">
        <v>4.12</v>
      </c>
      <c r="C126" s="845" t="s">
        <v>1335</v>
      </c>
      <c r="D126" s="1715"/>
      <c r="E126" s="1716"/>
      <c r="F126" s="1716"/>
      <c r="G126" s="1716"/>
      <c r="H126" s="1716"/>
      <c r="I126" s="1716"/>
      <c r="J126" s="1716"/>
      <c r="K126" s="1716"/>
      <c r="L126" s="1716"/>
      <c r="M126" s="1716"/>
      <c r="N126" s="1716"/>
      <c r="O126" s="1716"/>
      <c r="P126" s="1716"/>
      <c r="Q126" s="1716"/>
      <c r="R126" s="1716"/>
      <c r="S126" s="1716"/>
      <c r="T126" s="1716"/>
      <c r="U126" s="1717"/>
    </row>
    <row r="127" spans="2:21" x14ac:dyDescent="0.3">
      <c r="B127" s="851">
        <v>4.13</v>
      </c>
      <c r="C127" s="839" t="s">
        <v>1336</v>
      </c>
      <c r="D127" s="1715"/>
      <c r="E127" s="1716"/>
      <c r="F127" s="1716"/>
      <c r="G127" s="1716"/>
      <c r="H127" s="1716"/>
      <c r="I127" s="1716"/>
      <c r="J127" s="1716"/>
      <c r="K127" s="1716"/>
      <c r="L127" s="1716"/>
      <c r="M127" s="1716"/>
      <c r="N127" s="1716"/>
      <c r="O127" s="1716"/>
      <c r="P127" s="1716"/>
      <c r="Q127" s="1716"/>
      <c r="R127" s="1716"/>
      <c r="S127" s="1716"/>
      <c r="T127" s="1716"/>
      <c r="U127" s="1717"/>
    </row>
    <row r="128" spans="2:21" x14ac:dyDescent="0.3">
      <c r="B128" s="851">
        <v>4.1399999999999997</v>
      </c>
      <c r="C128" s="839" t="s">
        <v>1337</v>
      </c>
      <c r="D128" s="1715"/>
      <c r="E128" s="1716"/>
      <c r="F128" s="1716"/>
      <c r="G128" s="1716"/>
      <c r="H128" s="1716"/>
      <c r="I128" s="1716"/>
      <c r="J128" s="1716"/>
      <c r="K128" s="1716"/>
      <c r="L128" s="1716"/>
      <c r="M128" s="1716"/>
      <c r="N128" s="1716"/>
      <c r="O128" s="1716"/>
      <c r="P128" s="1716"/>
      <c r="Q128" s="1716"/>
      <c r="R128" s="1716"/>
      <c r="S128" s="1716"/>
      <c r="T128" s="1716"/>
      <c r="U128" s="1717"/>
    </row>
    <row r="129" spans="2:21" x14ac:dyDescent="0.3">
      <c r="B129" s="851">
        <v>4.1500000000000004</v>
      </c>
      <c r="C129" s="839" t="s">
        <v>1338</v>
      </c>
      <c r="D129" s="1715"/>
      <c r="E129" s="1716"/>
      <c r="F129" s="1716"/>
      <c r="G129" s="1716"/>
      <c r="H129" s="1716"/>
      <c r="I129" s="1716"/>
      <c r="J129" s="1716"/>
      <c r="K129" s="1716"/>
      <c r="L129" s="1716"/>
      <c r="M129" s="1716"/>
      <c r="N129" s="1716"/>
      <c r="O129" s="1716"/>
      <c r="P129" s="1716"/>
      <c r="Q129" s="1716"/>
      <c r="R129" s="1716"/>
      <c r="S129" s="1716"/>
      <c r="T129" s="1716"/>
      <c r="U129" s="1717"/>
    </row>
    <row r="130" spans="2:21" x14ac:dyDescent="0.3">
      <c r="B130" s="851">
        <v>4.16</v>
      </c>
      <c r="C130" s="839" t="s">
        <v>1339</v>
      </c>
      <c r="D130" s="1715"/>
      <c r="E130" s="1716"/>
      <c r="F130" s="1716"/>
      <c r="G130" s="1716"/>
      <c r="H130" s="1716"/>
      <c r="I130" s="1716"/>
      <c r="J130" s="1716"/>
      <c r="K130" s="1716"/>
      <c r="L130" s="1716"/>
      <c r="M130" s="1716"/>
      <c r="N130" s="1716"/>
      <c r="O130" s="1716"/>
      <c r="P130" s="1716"/>
      <c r="Q130" s="1716"/>
      <c r="R130" s="1716"/>
      <c r="S130" s="1716"/>
      <c r="T130" s="1716"/>
      <c r="U130" s="1717"/>
    </row>
    <row r="131" spans="2:21" x14ac:dyDescent="0.3">
      <c r="B131" s="851">
        <v>4.17</v>
      </c>
      <c r="C131" s="839" t="s">
        <v>249</v>
      </c>
      <c r="D131" s="1715"/>
      <c r="E131" s="1716"/>
      <c r="F131" s="1716"/>
      <c r="G131" s="1716"/>
      <c r="H131" s="1716"/>
      <c r="I131" s="1716"/>
      <c r="J131" s="1716"/>
      <c r="K131" s="1716"/>
      <c r="L131" s="1716"/>
      <c r="M131" s="1716"/>
      <c r="N131" s="1716"/>
      <c r="O131" s="1716"/>
      <c r="P131" s="1716"/>
      <c r="Q131" s="1716"/>
      <c r="R131" s="1716"/>
      <c r="S131" s="1716"/>
      <c r="T131" s="1716"/>
      <c r="U131" s="1717"/>
    </row>
    <row r="132" spans="2:21" s="782" customFormat="1" x14ac:dyDescent="0.3">
      <c r="B132" s="852"/>
      <c r="C132" s="842" t="s">
        <v>1340</v>
      </c>
      <c r="D132" s="1715"/>
      <c r="E132" s="1716"/>
      <c r="F132" s="1716"/>
      <c r="G132" s="1716"/>
      <c r="H132" s="1716"/>
      <c r="I132" s="1716"/>
      <c r="J132" s="1716"/>
      <c r="K132" s="1716"/>
      <c r="L132" s="1716"/>
      <c r="M132" s="1716"/>
      <c r="N132" s="1716"/>
      <c r="O132" s="1716"/>
      <c r="P132" s="1716"/>
      <c r="Q132" s="1716"/>
      <c r="R132" s="1716"/>
      <c r="S132" s="1716"/>
      <c r="T132" s="1716"/>
      <c r="U132" s="1717"/>
    </row>
    <row r="133" spans="2:21" x14ac:dyDescent="0.3">
      <c r="B133" s="851"/>
      <c r="C133" s="839"/>
      <c r="D133" s="1715"/>
      <c r="E133" s="1716"/>
      <c r="F133" s="1716"/>
      <c r="G133" s="1716"/>
      <c r="H133" s="1716"/>
      <c r="I133" s="1716"/>
      <c r="J133" s="1716"/>
      <c r="K133" s="1716"/>
      <c r="L133" s="1716"/>
      <c r="M133" s="1716"/>
      <c r="N133" s="1716"/>
      <c r="O133" s="1716"/>
      <c r="P133" s="1716"/>
      <c r="Q133" s="1716"/>
      <c r="R133" s="1716"/>
      <c r="S133" s="1716"/>
      <c r="T133" s="1716"/>
      <c r="U133" s="1717"/>
    </row>
    <row r="134" spans="2:21" s="782" customFormat="1" x14ac:dyDescent="0.3">
      <c r="B134" s="843">
        <v>5</v>
      </c>
      <c r="C134" s="849" t="s">
        <v>1341</v>
      </c>
      <c r="D134" s="1715"/>
      <c r="E134" s="1716"/>
      <c r="F134" s="1716"/>
      <c r="G134" s="1716"/>
      <c r="H134" s="1716"/>
      <c r="I134" s="1716"/>
      <c r="J134" s="1716"/>
      <c r="K134" s="1716"/>
      <c r="L134" s="1716"/>
      <c r="M134" s="1716"/>
      <c r="N134" s="1716"/>
      <c r="O134" s="1716"/>
      <c r="P134" s="1716"/>
      <c r="Q134" s="1716"/>
      <c r="R134" s="1716"/>
      <c r="S134" s="1716"/>
      <c r="T134" s="1716"/>
      <c r="U134" s="1717"/>
    </row>
    <row r="135" spans="2:21" x14ac:dyDescent="0.3">
      <c r="B135" s="844">
        <v>5.0999999999999996</v>
      </c>
      <c r="C135" s="839" t="s">
        <v>1342</v>
      </c>
      <c r="D135" s="1715"/>
      <c r="E135" s="1716"/>
      <c r="F135" s="1716"/>
      <c r="G135" s="1716"/>
      <c r="H135" s="1716"/>
      <c r="I135" s="1716"/>
      <c r="J135" s="1716"/>
      <c r="K135" s="1716"/>
      <c r="L135" s="1716"/>
      <c r="M135" s="1716"/>
      <c r="N135" s="1716"/>
      <c r="O135" s="1716"/>
      <c r="P135" s="1716"/>
      <c r="Q135" s="1716"/>
      <c r="R135" s="1716"/>
      <c r="S135" s="1716"/>
      <c r="T135" s="1716"/>
      <c r="U135" s="1717"/>
    </row>
    <row r="136" spans="2:21" x14ac:dyDescent="0.3">
      <c r="B136" s="844">
        <v>5.2</v>
      </c>
      <c r="C136" s="839" t="s">
        <v>1343</v>
      </c>
      <c r="D136" s="1715"/>
      <c r="E136" s="1716"/>
      <c r="F136" s="1716"/>
      <c r="G136" s="1716"/>
      <c r="H136" s="1716"/>
      <c r="I136" s="1716"/>
      <c r="J136" s="1716"/>
      <c r="K136" s="1716"/>
      <c r="L136" s="1716"/>
      <c r="M136" s="1716"/>
      <c r="N136" s="1716"/>
      <c r="O136" s="1716"/>
      <c r="P136" s="1716"/>
      <c r="Q136" s="1716"/>
      <c r="R136" s="1716"/>
      <c r="S136" s="1716"/>
      <c r="T136" s="1716"/>
      <c r="U136" s="1717"/>
    </row>
    <row r="137" spans="2:21" x14ac:dyDescent="0.3">
      <c r="B137" s="844">
        <v>5.3</v>
      </c>
      <c r="C137" s="839" t="s">
        <v>1344</v>
      </c>
      <c r="D137" s="1715"/>
      <c r="E137" s="1716"/>
      <c r="F137" s="1716"/>
      <c r="G137" s="1716"/>
      <c r="H137" s="1716"/>
      <c r="I137" s="1716"/>
      <c r="J137" s="1716"/>
      <c r="K137" s="1716"/>
      <c r="L137" s="1716"/>
      <c r="M137" s="1716"/>
      <c r="N137" s="1716"/>
      <c r="O137" s="1716"/>
      <c r="P137" s="1716"/>
      <c r="Q137" s="1716"/>
      <c r="R137" s="1716"/>
      <c r="S137" s="1716"/>
      <c r="T137" s="1716"/>
      <c r="U137" s="1717"/>
    </row>
    <row r="138" spans="2:21" x14ac:dyDescent="0.3">
      <c r="B138" s="844">
        <v>5.4</v>
      </c>
      <c r="C138" s="839" t="s">
        <v>1345</v>
      </c>
      <c r="D138" s="1715"/>
      <c r="E138" s="1716"/>
      <c r="F138" s="1716"/>
      <c r="G138" s="1716"/>
      <c r="H138" s="1716"/>
      <c r="I138" s="1716"/>
      <c r="J138" s="1716"/>
      <c r="K138" s="1716"/>
      <c r="L138" s="1716"/>
      <c r="M138" s="1716"/>
      <c r="N138" s="1716"/>
      <c r="O138" s="1716"/>
      <c r="P138" s="1716"/>
      <c r="Q138" s="1716"/>
      <c r="R138" s="1716"/>
      <c r="S138" s="1716"/>
      <c r="T138" s="1716"/>
      <c r="U138" s="1717"/>
    </row>
    <row r="139" spans="2:21" x14ac:dyDescent="0.3">
      <c r="B139" s="844">
        <v>5.5</v>
      </c>
      <c r="C139" s="839" t="s">
        <v>1346</v>
      </c>
      <c r="D139" s="1715"/>
      <c r="E139" s="1716"/>
      <c r="F139" s="1716"/>
      <c r="G139" s="1716"/>
      <c r="H139" s="1716"/>
      <c r="I139" s="1716"/>
      <c r="J139" s="1716"/>
      <c r="K139" s="1716"/>
      <c r="L139" s="1716"/>
      <c r="M139" s="1716"/>
      <c r="N139" s="1716"/>
      <c r="O139" s="1716"/>
      <c r="P139" s="1716"/>
      <c r="Q139" s="1716"/>
      <c r="R139" s="1716"/>
      <c r="S139" s="1716"/>
      <c r="T139" s="1716"/>
      <c r="U139" s="1717"/>
    </row>
    <row r="140" spans="2:21" x14ac:dyDescent="0.3">
      <c r="B140" s="844">
        <v>5.6</v>
      </c>
      <c r="C140" s="839" t="s">
        <v>1347</v>
      </c>
      <c r="D140" s="1715"/>
      <c r="E140" s="1716"/>
      <c r="F140" s="1716"/>
      <c r="G140" s="1716"/>
      <c r="H140" s="1716"/>
      <c r="I140" s="1716"/>
      <c r="J140" s="1716"/>
      <c r="K140" s="1716"/>
      <c r="L140" s="1716"/>
      <c r="M140" s="1716"/>
      <c r="N140" s="1716"/>
      <c r="O140" s="1716"/>
      <c r="P140" s="1716"/>
      <c r="Q140" s="1716"/>
      <c r="R140" s="1716"/>
      <c r="S140" s="1716"/>
      <c r="T140" s="1716"/>
      <c r="U140" s="1717"/>
    </row>
    <row r="141" spans="2:21" s="782" customFormat="1" x14ac:dyDescent="0.3">
      <c r="B141" s="843">
        <v>5.7</v>
      </c>
      <c r="C141" s="849" t="s">
        <v>1348</v>
      </c>
      <c r="D141" s="1715"/>
      <c r="E141" s="1716"/>
      <c r="F141" s="1716"/>
      <c r="G141" s="1716"/>
      <c r="H141" s="1716"/>
      <c r="I141" s="1716"/>
      <c r="J141" s="1716"/>
      <c r="K141" s="1716"/>
      <c r="L141" s="1716"/>
      <c r="M141" s="1716"/>
      <c r="N141" s="1716"/>
      <c r="O141" s="1716"/>
      <c r="P141" s="1716"/>
      <c r="Q141" s="1716"/>
      <c r="R141" s="1716"/>
      <c r="S141" s="1716"/>
      <c r="T141" s="1716"/>
      <c r="U141" s="1717"/>
    </row>
    <row r="142" spans="2:21" s="782" customFormat="1" x14ac:dyDescent="0.3">
      <c r="B142" s="843"/>
      <c r="C142" s="849"/>
      <c r="D142" s="1715"/>
      <c r="E142" s="1716"/>
      <c r="F142" s="1716"/>
      <c r="G142" s="1716"/>
      <c r="H142" s="1716"/>
      <c r="I142" s="1716"/>
      <c r="J142" s="1716"/>
      <c r="K142" s="1716"/>
      <c r="L142" s="1716"/>
      <c r="M142" s="1716"/>
      <c r="N142" s="1716"/>
      <c r="O142" s="1716"/>
      <c r="P142" s="1716"/>
      <c r="Q142" s="1716"/>
      <c r="R142" s="1716"/>
      <c r="S142" s="1716"/>
      <c r="T142" s="1716"/>
      <c r="U142" s="1717"/>
    </row>
    <row r="143" spans="2:21" s="782" customFormat="1" x14ac:dyDescent="0.3">
      <c r="B143" s="843">
        <v>6</v>
      </c>
      <c r="C143" s="842" t="s">
        <v>1349</v>
      </c>
      <c r="D143" s="1715"/>
      <c r="E143" s="1716"/>
      <c r="F143" s="1716"/>
      <c r="G143" s="1716"/>
      <c r="H143" s="1716"/>
      <c r="I143" s="1716"/>
      <c r="J143" s="1716"/>
      <c r="K143" s="1716"/>
      <c r="L143" s="1716"/>
      <c r="M143" s="1716"/>
      <c r="N143" s="1716"/>
      <c r="O143" s="1716"/>
      <c r="P143" s="1716"/>
      <c r="Q143" s="1716"/>
      <c r="R143" s="1716"/>
      <c r="S143" s="1716"/>
      <c r="T143" s="1716"/>
      <c r="U143" s="1717"/>
    </row>
    <row r="144" spans="2:21" x14ac:dyDescent="0.3">
      <c r="B144" s="844">
        <v>6.1</v>
      </c>
      <c r="C144" s="839" t="s">
        <v>1350</v>
      </c>
      <c r="D144" s="1715"/>
      <c r="E144" s="1716"/>
      <c r="F144" s="1716"/>
      <c r="G144" s="1716"/>
      <c r="H144" s="1716"/>
      <c r="I144" s="1716"/>
      <c r="J144" s="1716"/>
      <c r="K144" s="1716"/>
      <c r="L144" s="1716"/>
      <c r="M144" s="1716"/>
      <c r="N144" s="1716"/>
      <c r="O144" s="1716"/>
      <c r="P144" s="1716"/>
      <c r="Q144" s="1716"/>
      <c r="R144" s="1716"/>
      <c r="S144" s="1716"/>
      <c r="T144" s="1716"/>
      <c r="U144" s="1717"/>
    </row>
    <row r="145" spans="2:21" x14ac:dyDescent="0.3">
      <c r="B145" s="848">
        <v>6.2</v>
      </c>
      <c r="C145" s="845" t="s">
        <v>1351</v>
      </c>
      <c r="D145" s="1715"/>
      <c r="E145" s="1716"/>
      <c r="F145" s="1716"/>
      <c r="G145" s="1716"/>
      <c r="H145" s="1716"/>
      <c r="I145" s="1716"/>
      <c r="J145" s="1716"/>
      <c r="K145" s="1716"/>
      <c r="L145" s="1716"/>
      <c r="M145" s="1716"/>
      <c r="N145" s="1716"/>
      <c r="O145" s="1716"/>
      <c r="P145" s="1716"/>
      <c r="Q145" s="1716"/>
      <c r="R145" s="1716"/>
      <c r="S145" s="1716"/>
      <c r="T145" s="1716"/>
      <c r="U145" s="1717"/>
    </row>
    <row r="146" spans="2:21" x14ac:dyDescent="0.3">
      <c r="B146" s="844">
        <v>6.3</v>
      </c>
      <c r="C146" s="839" t="s">
        <v>1352</v>
      </c>
      <c r="D146" s="1715"/>
      <c r="E146" s="1716"/>
      <c r="F146" s="1716"/>
      <c r="G146" s="1716"/>
      <c r="H146" s="1716"/>
      <c r="I146" s="1716"/>
      <c r="J146" s="1716"/>
      <c r="K146" s="1716"/>
      <c r="L146" s="1716"/>
      <c r="M146" s="1716"/>
      <c r="N146" s="1716"/>
      <c r="O146" s="1716"/>
      <c r="P146" s="1716"/>
      <c r="Q146" s="1716"/>
      <c r="R146" s="1716"/>
      <c r="S146" s="1716"/>
      <c r="T146" s="1716"/>
      <c r="U146" s="1717"/>
    </row>
    <row r="147" spans="2:21" x14ac:dyDescent="0.3">
      <c r="B147" s="848">
        <v>6.4</v>
      </c>
      <c r="C147" s="839" t="s">
        <v>1353</v>
      </c>
      <c r="D147" s="1715"/>
      <c r="E147" s="1716"/>
      <c r="F147" s="1716"/>
      <c r="G147" s="1716"/>
      <c r="H147" s="1716"/>
      <c r="I147" s="1716"/>
      <c r="J147" s="1716"/>
      <c r="K147" s="1716"/>
      <c r="L147" s="1716"/>
      <c r="M147" s="1716"/>
      <c r="N147" s="1716"/>
      <c r="O147" s="1716"/>
      <c r="P147" s="1716"/>
      <c r="Q147" s="1716"/>
      <c r="R147" s="1716"/>
      <c r="S147" s="1716"/>
      <c r="T147" s="1716"/>
      <c r="U147" s="1717"/>
    </row>
    <row r="148" spans="2:21" s="782" customFormat="1" x14ac:dyDescent="0.3">
      <c r="B148" s="843">
        <v>6.5</v>
      </c>
      <c r="C148" s="842" t="s">
        <v>1354</v>
      </c>
      <c r="D148" s="1715"/>
      <c r="E148" s="1716"/>
      <c r="F148" s="1716"/>
      <c r="G148" s="1716"/>
      <c r="H148" s="1716"/>
      <c r="I148" s="1716"/>
      <c r="J148" s="1716"/>
      <c r="K148" s="1716"/>
      <c r="L148" s="1716"/>
      <c r="M148" s="1716"/>
      <c r="N148" s="1716"/>
      <c r="O148" s="1716"/>
      <c r="P148" s="1716"/>
      <c r="Q148" s="1716"/>
      <c r="R148" s="1716"/>
      <c r="S148" s="1716"/>
      <c r="T148" s="1716"/>
      <c r="U148" s="1717"/>
    </row>
    <row r="149" spans="2:21" s="782" customFormat="1" x14ac:dyDescent="0.3">
      <c r="B149" s="843"/>
      <c r="C149" s="842"/>
      <c r="D149" s="1715"/>
      <c r="E149" s="1716"/>
      <c r="F149" s="1716"/>
      <c r="G149" s="1716"/>
      <c r="H149" s="1716"/>
      <c r="I149" s="1716"/>
      <c r="J149" s="1716"/>
      <c r="K149" s="1716"/>
      <c r="L149" s="1716"/>
      <c r="M149" s="1716"/>
      <c r="N149" s="1716"/>
      <c r="O149" s="1716"/>
      <c r="P149" s="1716"/>
      <c r="Q149" s="1716"/>
      <c r="R149" s="1716"/>
      <c r="S149" s="1716"/>
      <c r="T149" s="1716"/>
      <c r="U149" s="1717"/>
    </row>
    <row r="150" spans="2:21" s="782" customFormat="1" x14ac:dyDescent="0.3">
      <c r="B150" s="843">
        <v>7</v>
      </c>
      <c r="C150" s="842" t="s">
        <v>1355</v>
      </c>
      <c r="D150" s="1715"/>
      <c r="E150" s="1716"/>
      <c r="F150" s="1716"/>
      <c r="G150" s="1716"/>
      <c r="H150" s="1716"/>
      <c r="I150" s="1716"/>
      <c r="J150" s="1716"/>
      <c r="K150" s="1716"/>
      <c r="L150" s="1716"/>
      <c r="M150" s="1716"/>
      <c r="N150" s="1716"/>
      <c r="O150" s="1716"/>
      <c r="P150" s="1716"/>
      <c r="Q150" s="1716"/>
      <c r="R150" s="1716"/>
      <c r="S150" s="1716"/>
      <c r="T150" s="1716"/>
      <c r="U150" s="1717"/>
    </row>
    <row r="151" spans="2:21" s="782" customFormat="1" ht="18" customHeight="1" x14ac:dyDescent="0.3">
      <c r="B151" s="848">
        <v>7.1</v>
      </c>
      <c r="C151" s="839" t="s">
        <v>1356</v>
      </c>
      <c r="D151" s="1715"/>
      <c r="E151" s="1716"/>
      <c r="F151" s="1716"/>
      <c r="G151" s="1716"/>
      <c r="H151" s="1716"/>
      <c r="I151" s="1716"/>
      <c r="J151" s="1716"/>
      <c r="K151" s="1716"/>
      <c r="L151" s="1716"/>
      <c r="M151" s="1716"/>
      <c r="N151" s="1716"/>
      <c r="O151" s="1716"/>
      <c r="P151" s="1716"/>
      <c r="Q151" s="1716"/>
      <c r="R151" s="1716"/>
      <c r="S151" s="1716"/>
      <c r="T151" s="1716"/>
      <c r="U151" s="1717"/>
    </row>
    <row r="152" spans="2:21" x14ac:dyDescent="0.3">
      <c r="B152" s="848">
        <v>7.2</v>
      </c>
      <c r="C152" s="845" t="s">
        <v>1357</v>
      </c>
      <c r="D152" s="1715"/>
      <c r="E152" s="1716"/>
      <c r="F152" s="1716"/>
      <c r="G152" s="1716"/>
      <c r="H152" s="1716"/>
      <c r="I152" s="1716"/>
      <c r="J152" s="1716"/>
      <c r="K152" s="1716"/>
      <c r="L152" s="1716"/>
      <c r="M152" s="1716"/>
      <c r="N152" s="1716"/>
      <c r="O152" s="1716"/>
      <c r="P152" s="1716"/>
      <c r="Q152" s="1716"/>
      <c r="R152" s="1716"/>
      <c r="S152" s="1716"/>
      <c r="T152" s="1716"/>
      <c r="U152" s="1717"/>
    </row>
    <row r="153" spans="2:21" x14ac:dyDescent="0.3">
      <c r="B153" s="848"/>
      <c r="C153" s="845"/>
      <c r="D153" s="1715"/>
      <c r="E153" s="1716"/>
      <c r="F153" s="1716"/>
      <c r="G153" s="1716"/>
      <c r="H153" s="1716"/>
      <c r="I153" s="1716"/>
      <c r="J153" s="1716"/>
      <c r="K153" s="1716"/>
      <c r="L153" s="1716"/>
      <c r="M153" s="1716"/>
      <c r="N153" s="1716"/>
      <c r="O153" s="1716"/>
      <c r="P153" s="1716"/>
      <c r="Q153" s="1716"/>
      <c r="R153" s="1716"/>
      <c r="S153" s="1716"/>
      <c r="T153" s="1716"/>
      <c r="U153" s="1717"/>
    </row>
    <row r="154" spans="2:21" s="782" customFormat="1" x14ac:dyDescent="0.3">
      <c r="B154" s="843">
        <v>8</v>
      </c>
      <c r="C154" s="842" t="s">
        <v>1358</v>
      </c>
      <c r="D154" s="1718"/>
      <c r="E154" s="1719"/>
      <c r="F154" s="1719"/>
      <c r="G154" s="1719"/>
      <c r="H154" s="1719"/>
      <c r="I154" s="1719"/>
      <c r="J154" s="1719"/>
      <c r="K154" s="1719"/>
      <c r="L154" s="1719"/>
      <c r="M154" s="1719"/>
      <c r="N154" s="1719"/>
      <c r="O154" s="1719"/>
      <c r="P154" s="1719"/>
      <c r="Q154" s="1719"/>
      <c r="R154" s="1719"/>
      <c r="S154" s="1719"/>
      <c r="T154" s="1719"/>
      <c r="U154" s="1720"/>
    </row>
    <row r="155" spans="2:21" x14ac:dyDescent="0.3">
      <c r="L155" s="853"/>
    </row>
  </sheetData>
  <mergeCells count="11">
    <mergeCell ref="D10:U154"/>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76"/>
  <sheetViews>
    <sheetView workbookViewId="0">
      <selection activeCell="A3" sqref="A3:T3"/>
    </sheetView>
  </sheetViews>
  <sheetFormatPr defaultColWidth="9.08984375" defaultRowHeight="14" x14ac:dyDescent="0.3"/>
  <cols>
    <col min="1" max="1" width="4.6328125" style="810" customWidth="1"/>
    <col min="2" max="2" width="9.08984375" style="810" customWidth="1"/>
    <col min="3" max="12" width="16.54296875" style="810" customWidth="1"/>
    <col min="13" max="13" width="16.54296875" style="812" customWidth="1"/>
    <col min="14" max="14" width="23.08984375" style="810" customWidth="1"/>
    <col min="15" max="256" width="9.08984375" style="810"/>
    <col min="257" max="257" width="4.6328125" style="810" customWidth="1"/>
    <col min="258" max="258" width="10.54296875" style="810" customWidth="1"/>
    <col min="259" max="259" width="49.08984375" style="810" customWidth="1"/>
    <col min="260" max="260" width="68.54296875" style="810" customWidth="1"/>
    <col min="261" max="261" width="35.453125" style="810" customWidth="1"/>
    <col min="262" max="262" width="21" style="810" customWidth="1"/>
    <col min="263" max="263" width="28.453125" style="810" customWidth="1"/>
    <col min="264" max="264" width="30.6328125" style="810" customWidth="1"/>
    <col min="265" max="265" width="29.54296875" style="810" customWidth="1"/>
    <col min="266" max="266" width="33.54296875" style="810" customWidth="1"/>
    <col min="267" max="267" width="26.54296875" style="810" customWidth="1"/>
    <col min="268" max="268" width="31.54296875" style="810" customWidth="1"/>
    <col min="269" max="269" width="34.36328125" style="810" customWidth="1"/>
    <col min="270" max="270" width="45.08984375" style="810" customWidth="1"/>
    <col min="271" max="512" width="9.08984375" style="810"/>
    <col min="513" max="513" width="4.6328125" style="810" customWidth="1"/>
    <col min="514" max="514" width="10.54296875" style="810" customWidth="1"/>
    <col min="515" max="515" width="49.08984375" style="810" customWidth="1"/>
    <col min="516" max="516" width="68.54296875" style="810" customWidth="1"/>
    <col min="517" max="517" width="35.453125" style="810" customWidth="1"/>
    <col min="518" max="518" width="21" style="810" customWidth="1"/>
    <col min="519" max="519" width="28.453125" style="810" customWidth="1"/>
    <col min="520" max="520" width="30.6328125" style="810" customWidth="1"/>
    <col min="521" max="521" width="29.54296875" style="810" customWidth="1"/>
    <col min="522" max="522" width="33.54296875" style="810" customWidth="1"/>
    <col min="523" max="523" width="26.54296875" style="810" customWidth="1"/>
    <col min="524" max="524" width="31.54296875" style="810" customWidth="1"/>
    <col min="525" max="525" width="34.36328125" style="810" customWidth="1"/>
    <col min="526" max="526" width="45.08984375" style="810" customWidth="1"/>
    <col min="527" max="768" width="9.08984375" style="810"/>
    <col min="769" max="769" width="4.6328125" style="810" customWidth="1"/>
    <col min="770" max="770" width="10.54296875" style="810" customWidth="1"/>
    <col min="771" max="771" width="49.08984375" style="810" customWidth="1"/>
    <col min="772" max="772" width="68.54296875" style="810" customWidth="1"/>
    <col min="773" max="773" width="35.453125" style="810" customWidth="1"/>
    <col min="774" max="774" width="21" style="810" customWidth="1"/>
    <col min="775" max="775" width="28.453125" style="810" customWidth="1"/>
    <col min="776" max="776" width="30.6328125" style="810" customWidth="1"/>
    <col min="777" max="777" width="29.54296875" style="810" customWidth="1"/>
    <col min="778" max="778" width="33.54296875" style="810" customWidth="1"/>
    <col min="779" max="779" width="26.54296875" style="810" customWidth="1"/>
    <col min="780" max="780" width="31.54296875" style="810" customWidth="1"/>
    <col min="781" max="781" width="34.36328125" style="810" customWidth="1"/>
    <col min="782" max="782" width="45.08984375" style="810" customWidth="1"/>
    <col min="783" max="1024" width="9.08984375" style="810"/>
    <col min="1025" max="1025" width="4.6328125" style="810" customWidth="1"/>
    <col min="1026" max="1026" width="10.54296875" style="810" customWidth="1"/>
    <col min="1027" max="1027" width="49.08984375" style="810" customWidth="1"/>
    <col min="1028" max="1028" width="68.54296875" style="810" customWidth="1"/>
    <col min="1029" max="1029" width="35.453125" style="810" customWidth="1"/>
    <col min="1030" max="1030" width="21" style="810" customWidth="1"/>
    <col min="1031" max="1031" width="28.453125" style="810" customWidth="1"/>
    <col min="1032" max="1032" width="30.6328125" style="810" customWidth="1"/>
    <col min="1033" max="1033" width="29.54296875" style="810" customWidth="1"/>
    <col min="1034" max="1034" width="33.54296875" style="810" customWidth="1"/>
    <col min="1035" max="1035" width="26.54296875" style="810" customWidth="1"/>
    <col min="1036" max="1036" width="31.54296875" style="810" customWidth="1"/>
    <col min="1037" max="1037" width="34.36328125" style="810" customWidth="1"/>
    <col min="1038" max="1038" width="45.08984375" style="810" customWidth="1"/>
    <col min="1039" max="1280" width="9.08984375" style="810"/>
    <col min="1281" max="1281" width="4.6328125" style="810" customWidth="1"/>
    <col min="1282" max="1282" width="10.54296875" style="810" customWidth="1"/>
    <col min="1283" max="1283" width="49.08984375" style="810" customWidth="1"/>
    <col min="1284" max="1284" width="68.54296875" style="810" customWidth="1"/>
    <col min="1285" max="1285" width="35.453125" style="810" customWidth="1"/>
    <col min="1286" max="1286" width="21" style="810" customWidth="1"/>
    <col min="1287" max="1287" width="28.453125" style="810" customWidth="1"/>
    <col min="1288" max="1288" width="30.6328125" style="810" customWidth="1"/>
    <col min="1289" max="1289" width="29.54296875" style="810" customWidth="1"/>
    <col min="1290" max="1290" width="33.54296875" style="810" customWidth="1"/>
    <col min="1291" max="1291" width="26.54296875" style="810" customWidth="1"/>
    <col min="1292" max="1292" width="31.54296875" style="810" customWidth="1"/>
    <col min="1293" max="1293" width="34.36328125" style="810" customWidth="1"/>
    <col min="1294" max="1294" width="45.08984375" style="810" customWidth="1"/>
    <col min="1295" max="1536" width="9.08984375" style="810"/>
    <col min="1537" max="1537" width="4.6328125" style="810" customWidth="1"/>
    <col min="1538" max="1538" width="10.54296875" style="810" customWidth="1"/>
    <col min="1539" max="1539" width="49.08984375" style="810" customWidth="1"/>
    <col min="1540" max="1540" width="68.54296875" style="810" customWidth="1"/>
    <col min="1541" max="1541" width="35.453125" style="810" customWidth="1"/>
    <col min="1542" max="1542" width="21" style="810" customWidth="1"/>
    <col min="1543" max="1543" width="28.453125" style="810" customWidth="1"/>
    <col min="1544" max="1544" width="30.6328125" style="810" customWidth="1"/>
    <col min="1545" max="1545" width="29.54296875" style="810" customWidth="1"/>
    <col min="1546" max="1546" width="33.54296875" style="810" customWidth="1"/>
    <col min="1547" max="1547" width="26.54296875" style="810" customWidth="1"/>
    <col min="1548" max="1548" width="31.54296875" style="810" customWidth="1"/>
    <col min="1549" max="1549" width="34.36328125" style="810" customWidth="1"/>
    <col min="1550" max="1550" width="45.08984375" style="810" customWidth="1"/>
    <col min="1551" max="1792" width="9.08984375" style="810"/>
    <col min="1793" max="1793" width="4.6328125" style="810" customWidth="1"/>
    <col min="1794" max="1794" width="10.54296875" style="810" customWidth="1"/>
    <col min="1795" max="1795" width="49.08984375" style="810" customWidth="1"/>
    <col min="1796" max="1796" width="68.54296875" style="810" customWidth="1"/>
    <col min="1797" max="1797" width="35.453125" style="810" customWidth="1"/>
    <col min="1798" max="1798" width="21" style="810" customWidth="1"/>
    <col min="1799" max="1799" width="28.453125" style="810" customWidth="1"/>
    <col min="1800" max="1800" width="30.6328125" style="810" customWidth="1"/>
    <col min="1801" max="1801" width="29.54296875" style="810" customWidth="1"/>
    <col min="1802" max="1802" width="33.54296875" style="810" customWidth="1"/>
    <col min="1803" max="1803" width="26.54296875" style="810" customWidth="1"/>
    <col min="1804" max="1804" width="31.54296875" style="810" customWidth="1"/>
    <col min="1805" max="1805" width="34.36328125" style="810" customWidth="1"/>
    <col min="1806" max="1806" width="45.08984375" style="810" customWidth="1"/>
    <col min="1807" max="2048" width="9.08984375" style="810"/>
    <col min="2049" max="2049" width="4.6328125" style="810" customWidth="1"/>
    <col min="2050" max="2050" width="10.54296875" style="810" customWidth="1"/>
    <col min="2051" max="2051" width="49.08984375" style="810" customWidth="1"/>
    <col min="2052" max="2052" width="68.54296875" style="810" customWidth="1"/>
    <col min="2053" max="2053" width="35.453125" style="810" customWidth="1"/>
    <col min="2054" max="2054" width="21" style="810" customWidth="1"/>
    <col min="2055" max="2055" width="28.453125" style="810" customWidth="1"/>
    <col min="2056" max="2056" width="30.6328125" style="810" customWidth="1"/>
    <col min="2057" max="2057" width="29.54296875" style="810" customWidth="1"/>
    <col min="2058" max="2058" width="33.54296875" style="810" customWidth="1"/>
    <col min="2059" max="2059" width="26.54296875" style="810" customWidth="1"/>
    <col min="2060" max="2060" width="31.54296875" style="810" customWidth="1"/>
    <col min="2061" max="2061" width="34.36328125" style="810" customWidth="1"/>
    <col min="2062" max="2062" width="45.08984375" style="810" customWidth="1"/>
    <col min="2063" max="2304" width="9.08984375" style="810"/>
    <col min="2305" max="2305" width="4.6328125" style="810" customWidth="1"/>
    <col min="2306" max="2306" width="10.54296875" style="810" customWidth="1"/>
    <col min="2307" max="2307" width="49.08984375" style="810" customWidth="1"/>
    <col min="2308" max="2308" width="68.54296875" style="810" customWidth="1"/>
    <col min="2309" max="2309" width="35.453125" style="810" customWidth="1"/>
    <col min="2310" max="2310" width="21" style="810" customWidth="1"/>
    <col min="2311" max="2311" width="28.453125" style="810" customWidth="1"/>
    <col min="2312" max="2312" width="30.6328125" style="810" customWidth="1"/>
    <col min="2313" max="2313" width="29.54296875" style="810" customWidth="1"/>
    <col min="2314" max="2314" width="33.54296875" style="810" customWidth="1"/>
    <col min="2315" max="2315" width="26.54296875" style="810" customWidth="1"/>
    <col min="2316" max="2316" width="31.54296875" style="810" customWidth="1"/>
    <col min="2317" max="2317" width="34.36328125" style="810" customWidth="1"/>
    <col min="2318" max="2318" width="45.08984375" style="810" customWidth="1"/>
    <col min="2319" max="2560" width="9.08984375" style="810"/>
    <col min="2561" max="2561" width="4.6328125" style="810" customWidth="1"/>
    <col min="2562" max="2562" width="10.54296875" style="810" customWidth="1"/>
    <col min="2563" max="2563" width="49.08984375" style="810" customWidth="1"/>
    <col min="2564" max="2564" width="68.54296875" style="810" customWidth="1"/>
    <col min="2565" max="2565" width="35.453125" style="810" customWidth="1"/>
    <col min="2566" max="2566" width="21" style="810" customWidth="1"/>
    <col min="2567" max="2567" width="28.453125" style="810" customWidth="1"/>
    <col min="2568" max="2568" width="30.6328125" style="810" customWidth="1"/>
    <col min="2569" max="2569" width="29.54296875" style="810" customWidth="1"/>
    <col min="2570" max="2570" width="33.54296875" style="810" customWidth="1"/>
    <col min="2571" max="2571" width="26.54296875" style="810" customWidth="1"/>
    <col min="2572" max="2572" width="31.54296875" style="810" customWidth="1"/>
    <col min="2573" max="2573" width="34.36328125" style="810" customWidth="1"/>
    <col min="2574" max="2574" width="45.08984375" style="810" customWidth="1"/>
    <col min="2575" max="2816" width="9.08984375" style="810"/>
    <col min="2817" max="2817" width="4.6328125" style="810" customWidth="1"/>
    <col min="2818" max="2818" width="10.54296875" style="810" customWidth="1"/>
    <col min="2819" max="2819" width="49.08984375" style="810" customWidth="1"/>
    <col min="2820" max="2820" width="68.54296875" style="810" customWidth="1"/>
    <col min="2821" max="2821" width="35.453125" style="810" customWidth="1"/>
    <col min="2822" max="2822" width="21" style="810" customWidth="1"/>
    <col min="2823" max="2823" width="28.453125" style="810" customWidth="1"/>
    <col min="2824" max="2824" width="30.6328125" style="810" customWidth="1"/>
    <col min="2825" max="2825" width="29.54296875" style="810" customWidth="1"/>
    <col min="2826" max="2826" width="33.54296875" style="810" customWidth="1"/>
    <col min="2827" max="2827" width="26.54296875" style="810" customWidth="1"/>
    <col min="2828" max="2828" width="31.54296875" style="810" customWidth="1"/>
    <col min="2829" max="2829" width="34.36328125" style="810" customWidth="1"/>
    <col min="2830" max="2830" width="45.08984375" style="810" customWidth="1"/>
    <col min="2831" max="3072" width="9.08984375" style="810"/>
    <col min="3073" max="3073" width="4.6328125" style="810" customWidth="1"/>
    <col min="3074" max="3074" width="10.54296875" style="810" customWidth="1"/>
    <col min="3075" max="3075" width="49.08984375" style="810" customWidth="1"/>
    <col min="3076" max="3076" width="68.54296875" style="810" customWidth="1"/>
    <col min="3077" max="3077" width="35.453125" style="810" customWidth="1"/>
    <col min="3078" max="3078" width="21" style="810" customWidth="1"/>
    <col min="3079" max="3079" width="28.453125" style="810" customWidth="1"/>
    <col min="3080" max="3080" width="30.6328125" style="810" customWidth="1"/>
    <col min="3081" max="3081" width="29.54296875" style="810" customWidth="1"/>
    <col min="3082" max="3082" width="33.54296875" style="810" customWidth="1"/>
    <col min="3083" max="3083" width="26.54296875" style="810" customWidth="1"/>
    <col min="3084" max="3084" width="31.54296875" style="810" customWidth="1"/>
    <col min="3085" max="3085" width="34.36328125" style="810" customWidth="1"/>
    <col min="3086" max="3086" width="45.08984375" style="810" customWidth="1"/>
    <col min="3087" max="3328" width="9.08984375" style="810"/>
    <col min="3329" max="3329" width="4.6328125" style="810" customWidth="1"/>
    <col min="3330" max="3330" width="10.54296875" style="810" customWidth="1"/>
    <col min="3331" max="3331" width="49.08984375" style="810" customWidth="1"/>
    <col min="3332" max="3332" width="68.54296875" style="810" customWidth="1"/>
    <col min="3333" max="3333" width="35.453125" style="810" customWidth="1"/>
    <col min="3334" max="3334" width="21" style="810" customWidth="1"/>
    <col min="3335" max="3335" width="28.453125" style="810" customWidth="1"/>
    <col min="3336" max="3336" width="30.6328125" style="810" customWidth="1"/>
    <col min="3337" max="3337" width="29.54296875" style="810" customWidth="1"/>
    <col min="3338" max="3338" width="33.54296875" style="810" customWidth="1"/>
    <col min="3339" max="3339" width="26.54296875" style="810" customWidth="1"/>
    <col min="3340" max="3340" width="31.54296875" style="810" customWidth="1"/>
    <col min="3341" max="3341" width="34.36328125" style="810" customWidth="1"/>
    <col min="3342" max="3342" width="45.08984375" style="810" customWidth="1"/>
    <col min="3343" max="3584" width="9.08984375" style="810"/>
    <col min="3585" max="3585" width="4.6328125" style="810" customWidth="1"/>
    <col min="3586" max="3586" width="10.54296875" style="810" customWidth="1"/>
    <col min="3587" max="3587" width="49.08984375" style="810" customWidth="1"/>
    <col min="3588" max="3588" width="68.54296875" style="810" customWidth="1"/>
    <col min="3589" max="3589" width="35.453125" style="810" customWidth="1"/>
    <col min="3590" max="3590" width="21" style="810" customWidth="1"/>
    <col min="3591" max="3591" width="28.453125" style="810" customWidth="1"/>
    <col min="3592" max="3592" width="30.6328125" style="810" customWidth="1"/>
    <col min="3593" max="3593" width="29.54296875" style="810" customWidth="1"/>
    <col min="3594" max="3594" width="33.54296875" style="810" customWidth="1"/>
    <col min="3595" max="3595" width="26.54296875" style="810" customWidth="1"/>
    <col min="3596" max="3596" width="31.54296875" style="810" customWidth="1"/>
    <col min="3597" max="3597" width="34.36328125" style="810" customWidth="1"/>
    <col min="3598" max="3598" width="45.08984375" style="810" customWidth="1"/>
    <col min="3599" max="3840" width="9.08984375" style="810"/>
    <col min="3841" max="3841" width="4.6328125" style="810" customWidth="1"/>
    <col min="3842" max="3842" width="10.54296875" style="810" customWidth="1"/>
    <col min="3843" max="3843" width="49.08984375" style="810" customWidth="1"/>
    <col min="3844" max="3844" width="68.54296875" style="810" customWidth="1"/>
    <col min="3845" max="3845" width="35.453125" style="810" customWidth="1"/>
    <col min="3846" max="3846" width="21" style="810" customWidth="1"/>
    <col min="3847" max="3847" width="28.453125" style="810" customWidth="1"/>
    <col min="3848" max="3848" width="30.6328125" style="810" customWidth="1"/>
    <col min="3849" max="3849" width="29.54296875" style="810" customWidth="1"/>
    <col min="3850" max="3850" width="33.54296875" style="810" customWidth="1"/>
    <col min="3851" max="3851" width="26.54296875" style="810" customWidth="1"/>
    <col min="3852" max="3852" width="31.54296875" style="810" customWidth="1"/>
    <col min="3853" max="3853" width="34.36328125" style="810" customWidth="1"/>
    <col min="3854" max="3854" width="45.08984375" style="810" customWidth="1"/>
    <col min="3855" max="4096" width="9.08984375" style="810"/>
    <col min="4097" max="4097" width="4.6328125" style="810" customWidth="1"/>
    <col min="4098" max="4098" width="10.54296875" style="810" customWidth="1"/>
    <col min="4099" max="4099" width="49.08984375" style="810" customWidth="1"/>
    <col min="4100" max="4100" width="68.54296875" style="810" customWidth="1"/>
    <col min="4101" max="4101" width="35.453125" style="810" customWidth="1"/>
    <col min="4102" max="4102" width="21" style="810" customWidth="1"/>
    <col min="4103" max="4103" width="28.453125" style="810" customWidth="1"/>
    <col min="4104" max="4104" width="30.6328125" style="810" customWidth="1"/>
    <col min="4105" max="4105" width="29.54296875" style="810" customWidth="1"/>
    <col min="4106" max="4106" width="33.54296875" style="810" customWidth="1"/>
    <col min="4107" max="4107" width="26.54296875" style="810" customWidth="1"/>
    <col min="4108" max="4108" width="31.54296875" style="810" customWidth="1"/>
    <col min="4109" max="4109" width="34.36328125" style="810" customWidth="1"/>
    <col min="4110" max="4110" width="45.08984375" style="810" customWidth="1"/>
    <col min="4111" max="4352" width="9.08984375" style="810"/>
    <col min="4353" max="4353" width="4.6328125" style="810" customWidth="1"/>
    <col min="4354" max="4354" width="10.54296875" style="810" customWidth="1"/>
    <col min="4355" max="4355" width="49.08984375" style="810" customWidth="1"/>
    <col min="4356" max="4356" width="68.54296875" style="810" customWidth="1"/>
    <col min="4357" max="4357" width="35.453125" style="810" customWidth="1"/>
    <col min="4358" max="4358" width="21" style="810" customWidth="1"/>
    <col min="4359" max="4359" width="28.453125" style="810" customWidth="1"/>
    <col min="4360" max="4360" width="30.6328125" style="810" customWidth="1"/>
    <col min="4361" max="4361" width="29.54296875" style="810" customWidth="1"/>
    <col min="4362" max="4362" width="33.54296875" style="810" customWidth="1"/>
    <col min="4363" max="4363" width="26.54296875" style="810" customWidth="1"/>
    <col min="4364" max="4364" width="31.54296875" style="810" customWidth="1"/>
    <col min="4365" max="4365" width="34.36328125" style="810" customWidth="1"/>
    <col min="4366" max="4366" width="45.08984375" style="810" customWidth="1"/>
    <col min="4367" max="4608" width="9.08984375" style="810"/>
    <col min="4609" max="4609" width="4.6328125" style="810" customWidth="1"/>
    <col min="4610" max="4610" width="10.54296875" style="810" customWidth="1"/>
    <col min="4611" max="4611" width="49.08984375" style="810" customWidth="1"/>
    <col min="4612" max="4612" width="68.54296875" style="810" customWidth="1"/>
    <col min="4613" max="4613" width="35.453125" style="810" customWidth="1"/>
    <col min="4614" max="4614" width="21" style="810" customWidth="1"/>
    <col min="4615" max="4615" width="28.453125" style="810" customWidth="1"/>
    <col min="4616" max="4616" width="30.6328125" style="810" customWidth="1"/>
    <col min="4617" max="4617" width="29.54296875" style="810" customWidth="1"/>
    <col min="4618" max="4618" width="33.54296875" style="810" customWidth="1"/>
    <col min="4619" max="4619" width="26.54296875" style="810" customWidth="1"/>
    <col min="4620" max="4620" width="31.54296875" style="810" customWidth="1"/>
    <col min="4621" max="4621" width="34.36328125" style="810" customWidth="1"/>
    <col min="4622" max="4622" width="45.08984375" style="810" customWidth="1"/>
    <col min="4623" max="4864" width="9.08984375" style="810"/>
    <col min="4865" max="4865" width="4.6328125" style="810" customWidth="1"/>
    <col min="4866" max="4866" width="10.54296875" style="810" customWidth="1"/>
    <col min="4867" max="4867" width="49.08984375" style="810" customWidth="1"/>
    <col min="4868" max="4868" width="68.54296875" style="810" customWidth="1"/>
    <col min="4869" max="4869" width="35.453125" style="810" customWidth="1"/>
    <col min="4870" max="4870" width="21" style="810" customWidth="1"/>
    <col min="4871" max="4871" width="28.453125" style="810" customWidth="1"/>
    <col min="4872" max="4872" width="30.6328125" style="810" customWidth="1"/>
    <col min="4873" max="4873" width="29.54296875" style="810" customWidth="1"/>
    <col min="4874" max="4874" width="33.54296875" style="810" customWidth="1"/>
    <col min="4875" max="4875" width="26.54296875" style="810" customWidth="1"/>
    <col min="4876" max="4876" width="31.54296875" style="810" customWidth="1"/>
    <col min="4877" max="4877" width="34.36328125" style="810" customWidth="1"/>
    <col min="4878" max="4878" width="45.08984375" style="810" customWidth="1"/>
    <col min="4879" max="5120" width="9.08984375" style="810"/>
    <col min="5121" max="5121" width="4.6328125" style="810" customWidth="1"/>
    <col min="5122" max="5122" width="10.54296875" style="810" customWidth="1"/>
    <col min="5123" max="5123" width="49.08984375" style="810" customWidth="1"/>
    <col min="5124" max="5124" width="68.54296875" style="810" customWidth="1"/>
    <col min="5125" max="5125" width="35.453125" style="810" customWidth="1"/>
    <col min="5126" max="5126" width="21" style="810" customWidth="1"/>
    <col min="5127" max="5127" width="28.453125" style="810" customWidth="1"/>
    <col min="5128" max="5128" width="30.6328125" style="810" customWidth="1"/>
    <col min="5129" max="5129" width="29.54296875" style="810" customWidth="1"/>
    <col min="5130" max="5130" width="33.54296875" style="810" customWidth="1"/>
    <col min="5131" max="5131" width="26.54296875" style="810" customWidth="1"/>
    <col min="5132" max="5132" width="31.54296875" style="810" customWidth="1"/>
    <col min="5133" max="5133" width="34.36328125" style="810" customWidth="1"/>
    <col min="5134" max="5134" width="45.08984375" style="810" customWidth="1"/>
    <col min="5135" max="5376" width="9.08984375" style="810"/>
    <col min="5377" max="5377" width="4.6328125" style="810" customWidth="1"/>
    <col min="5378" max="5378" width="10.54296875" style="810" customWidth="1"/>
    <col min="5379" max="5379" width="49.08984375" style="810" customWidth="1"/>
    <col min="5380" max="5380" width="68.54296875" style="810" customWidth="1"/>
    <col min="5381" max="5381" width="35.453125" style="810" customWidth="1"/>
    <col min="5382" max="5382" width="21" style="810" customWidth="1"/>
    <col min="5383" max="5383" width="28.453125" style="810" customWidth="1"/>
    <col min="5384" max="5384" width="30.6328125" style="810" customWidth="1"/>
    <col min="5385" max="5385" width="29.54296875" style="810" customWidth="1"/>
    <col min="5386" max="5386" width="33.54296875" style="810" customWidth="1"/>
    <col min="5387" max="5387" width="26.54296875" style="810" customWidth="1"/>
    <col min="5388" max="5388" width="31.54296875" style="810" customWidth="1"/>
    <col min="5389" max="5389" width="34.36328125" style="810" customWidth="1"/>
    <col min="5390" max="5390" width="45.08984375" style="810" customWidth="1"/>
    <col min="5391" max="5632" width="9.08984375" style="810"/>
    <col min="5633" max="5633" width="4.6328125" style="810" customWidth="1"/>
    <col min="5634" max="5634" width="10.54296875" style="810" customWidth="1"/>
    <col min="5635" max="5635" width="49.08984375" style="810" customWidth="1"/>
    <col min="5636" max="5636" width="68.54296875" style="810" customWidth="1"/>
    <col min="5637" max="5637" width="35.453125" style="810" customWidth="1"/>
    <col min="5638" max="5638" width="21" style="810" customWidth="1"/>
    <col min="5639" max="5639" width="28.453125" style="810" customWidth="1"/>
    <col min="5640" max="5640" width="30.6328125" style="810" customWidth="1"/>
    <col min="5641" max="5641" width="29.54296875" style="810" customWidth="1"/>
    <col min="5642" max="5642" width="33.54296875" style="810" customWidth="1"/>
    <col min="5643" max="5643" width="26.54296875" style="810" customWidth="1"/>
    <col min="5644" max="5644" width="31.54296875" style="810" customWidth="1"/>
    <col min="5645" max="5645" width="34.36328125" style="810" customWidth="1"/>
    <col min="5646" max="5646" width="45.08984375" style="810" customWidth="1"/>
    <col min="5647" max="5888" width="9.08984375" style="810"/>
    <col min="5889" max="5889" width="4.6328125" style="810" customWidth="1"/>
    <col min="5890" max="5890" width="10.54296875" style="810" customWidth="1"/>
    <col min="5891" max="5891" width="49.08984375" style="810" customWidth="1"/>
    <col min="5892" max="5892" width="68.54296875" style="810" customWidth="1"/>
    <col min="5893" max="5893" width="35.453125" style="810" customWidth="1"/>
    <col min="5894" max="5894" width="21" style="810" customWidth="1"/>
    <col min="5895" max="5895" width="28.453125" style="810" customWidth="1"/>
    <col min="5896" max="5896" width="30.6328125" style="810" customWidth="1"/>
    <col min="5897" max="5897" width="29.54296875" style="810" customWidth="1"/>
    <col min="5898" max="5898" width="33.54296875" style="810" customWidth="1"/>
    <col min="5899" max="5899" width="26.54296875" style="810" customWidth="1"/>
    <col min="5900" max="5900" width="31.54296875" style="810" customWidth="1"/>
    <col min="5901" max="5901" width="34.36328125" style="810" customWidth="1"/>
    <col min="5902" max="5902" width="45.08984375" style="810" customWidth="1"/>
    <col min="5903" max="6144" width="9.08984375" style="810"/>
    <col min="6145" max="6145" width="4.6328125" style="810" customWidth="1"/>
    <col min="6146" max="6146" width="10.54296875" style="810" customWidth="1"/>
    <col min="6147" max="6147" width="49.08984375" style="810" customWidth="1"/>
    <col min="6148" max="6148" width="68.54296875" style="810" customWidth="1"/>
    <col min="6149" max="6149" width="35.453125" style="810" customWidth="1"/>
    <col min="6150" max="6150" width="21" style="810" customWidth="1"/>
    <col min="6151" max="6151" width="28.453125" style="810" customWidth="1"/>
    <col min="6152" max="6152" width="30.6328125" style="810" customWidth="1"/>
    <col min="6153" max="6153" width="29.54296875" style="810" customWidth="1"/>
    <col min="6154" max="6154" width="33.54296875" style="810" customWidth="1"/>
    <col min="6155" max="6155" width="26.54296875" style="810" customWidth="1"/>
    <col min="6156" max="6156" width="31.54296875" style="810" customWidth="1"/>
    <col min="6157" max="6157" width="34.36328125" style="810" customWidth="1"/>
    <col min="6158" max="6158" width="45.08984375" style="810" customWidth="1"/>
    <col min="6159" max="6400" width="9.08984375" style="810"/>
    <col min="6401" max="6401" width="4.6328125" style="810" customWidth="1"/>
    <col min="6402" max="6402" width="10.54296875" style="810" customWidth="1"/>
    <col min="6403" max="6403" width="49.08984375" style="810" customWidth="1"/>
    <col min="6404" max="6404" width="68.54296875" style="810" customWidth="1"/>
    <col min="6405" max="6405" width="35.453125" style="810" customWidth="1"/>
    <col min="6406" max="6406" width="21" style="810" customWidth="1"/>
    <col min="6407" max="6407" width="28.453125" style="810" customWidth="1"/>
    <col min="6408" max="6408" width="30.6328125" style="810" customWidth="1"/>
    <col min="6409" max="6409" width="29.54296875" style="810" customWidth="1"/>
    <col min="6410" max="6410" width="33.54296875" style="810" customWidth="1"/>
    <col min="6411" max="6411" width="26.54296875" style="810" customWidth="1"/>
    <col min="6412" max="6412" width="31.54296875" style="810" customWidth="1"/>
    <col min="6413" max="6413" width="34.36328125" style="810" customWidth="1"/>
    <col min="6414" max="6414" width="45.08984375" style="810" customWidth="1"/>
    <col min="6415" max="6656" width="9.08984375" style="810"/>
    <col min="6657" max="6657" width="4.6328125" style="810" customWidth="1"/>
    <col min="6658" max="6658" width="10.54296875" style="810" customWidth="1"/>
    <col min="6659" max="6659" width="49.08984375" style="810" customWidth="1"/>
    <col min="6660" max="6660" width="68.54296875" style="810" customWidth="1"/>
    <col min="6661" max="6661" width="35.453125" style="810" customWidth="1"/>
    <col min="6662" max="6662" width="21" style="810" customWidth="1"/>
    <col min="6663" max="6663" width="28.453125" style="810" customWidth="1"/>
    <col min="6664" max="6664" width="30.6328125" style="810" customWidth="1"/>
    <col min="6665" max="6665" width="29.54296875" style="810" customWidth="1"/>
    <col min="6666" max="6666" width="33.54296875" style="810" customWidth="1"/>
    <col min="6667" max="6667" width="26.54296875" style="810" customWidth="1"/>
    <col min="6668" max="6668" width="31.54296875" style="810" customWidth="1"/>
    <col min="6669" max="6669" width="34.36328125" style="810" customWidth="1"/>
    <col min="6670" max="6670" width="45.08984375" style="810" customWidth="1"/>
    <col min="6671" max="6912" width="9.08984375" style="810"/>
    <col min="6913" max="6913" width="4.6328125" style="810" customWidth="1"/>
    <col min="6914" max="6914" width="10.54296875" style="810" customWidth="1"/>
    <col min="6915" max="6915" width="49.08984375" style="810" customWidth="1"/>
    <col min="6916" max="6916" width="68.54296875" style="810" customWidth="1"/>
    <col min="6917" max="6917" width="35.453125" style="810" customWidth="1"/>
    <col min="6918" max="6918" width="21" style="810" customWidth="1"/>
    <col min="6919" max="6919" width="28.453125" style="810" customWidth="1"/>
    <col min="6920" max="6920" width="30.6328125" style="810" customWidth="1"/>
    <col min="6921" max="6921" width="29.54296875" style="810" customWidth="1"/>
    <col min="6922" max="6922" width="33.54296875" style="810" customWidth="1"/>
    <col min="6923" max="6923" width="26.54296875" style="810" customWidth="1"/>
    <col min="6924" max="6924" width="31.54296875" style="810" customWidth="1"/>
    <col min="6925" max="6925" width="34.36328125" style="810" customWidth="1"/>
    <col min="6926" max="6926" width="45.08984375" style="810" customWidth="1"/>
    <col min="6927" max="7168" width="9.08984375" style="810"/>
    <col min="7169" max="7169" width="4.6328125" style="810" customWidth="1"/>
    <col min="7170" max="7170" width="10.54296875" style="810" customWidth="1"/>
    <col min="7171" max="7171" width="49.08984375" style="810" customWidth="1"/>
    <col min="7172" max="7172" width="68.54296875" style="810" customWidth="1"/>
    <col min="7173" max="7173" width="35.453125" style="810" customWidth="1"/>
    <col min="7174" max="7174" width="21" style="810" customWidth="1"/>
    <col min="7175" max="7175" width="28.453125" style="810" customWidth="1"/>
    <col min="7176" max="7176" width="30.6328125" style="810" customWidth="1"/>
    <col min="7177" max="7177" width="29.54296875" style="810" customWidth="1"/>
    <col min="7178" max="7178" width="33.54296875" style="810" customWidth="1"/>
    <col min="7179" max="7179" width="26.54296875" style="810" customWidth="1"/>
    <col min="7180" max="7180" width="31.54296875" style="810" customWidth="1"/>
    <col min="7181" max="7181" width="34.36328125" style="810" customWidth="1"/>
    <col min="7182" max="7182" width="45.08984375" style="810" customWidth="1"/>
    <col min="7183" max="7424" width="9.08984375" style="810"/>
    <col min="7425" max="7425" width="4.6328125" style="810" customWidth="1"/>
    <col min="7426" max="7426" width="10.54296875" style="810" customWidth="1"/>
    <col min="7427" max="7427" width="49.08984375" style="810" customWidth="1"/>
    <col min="7428" max="7428" width="68.54296875" style="810" customWidth="1"/>
    <col min="7429" max="7429" width="35.453125" style="810" customWidth="1"/>
    <col min="7430" max="7430" width="21" style="810" customWidth="1"/>
    <col min="7431" max="7431" width="28.453125" style="810" customWidth="1"/>
    <col min="7432" max="7432" width="30.6328125" style="810" customWidth="1"/>
    <col min="7433" max="7433" width="29.54296875" style="810" customWidth="1"/>
    <col min="7434" max="7434" width="33.54296875" style="810" customWidth="1"/>
    <col min="7435" max="7435" width="26.54296875" style="810" customWidth="1"/>
    <col min="7436" max="7436" width="31.54296875" style="810" customWidth="1"/>
    <col min="7437" max="7437" width="34.36328125" style="810" customWidth="1"/>
    <col min="7438" max="7438" width="45.08984375" style="810" customWidth="1"/>
    <col min="7439" max="7680" width="9.08984375" style="810"/>
    <col min="7681" max="7681" width="4.6328125" style="810" customWidth="1"/>
    <col min="7682" max="7682" width="10.54296875" style="810" customWidth="1"/>
    <col min="7683" max="7683" width="49.08984375" style="810" customWidth="1"/>
    <col min="7684" max="7684" width="68.54296875" style="810" customWidth="1"/>
    <col min="7685" max="7685" width="35.453125" style="810" customWidth="1"/>
    <col min="7686" max="7686" width="21" style="810" customWidth="1"/>
    <col min="7687" max="7687" width="28.453125" style="810" customWidth="1"/>
    <col min="7688" max="7688" width="30.6328125" style="810" customWidth="1"/>
    <col min="7689" max="7689" width="29.54296875" style="810" customWidth="1"/>
    <col min="7690" max="7690" width="33.54296875" style="810" customWidth="1"/>
    <col min="7691" max="7691" width="26.54296875" style="810" customWidth="1"/>
    <col min="7692" max="7692" width="31.54296875" style="810" customWidth="1"/>
    <col min="7693" max="7693" width="34.36328125" style="810" customWidth="1"/>
    <col min="7694" max="7694" width="45.08984375" style="810" customWidth="1"/>
    <col min="7695" max="7936" width="9.08984375" style="810"/>
    <col min="7937" max="7937" width="4.6328125" style="810" customWidth="1"/>
    <col min="7938" max="7938" width="10.54296875" style="810" customWidth="1"/>
    <col min="7939" max="7939" width="49.08984375" style="810" customWidth="1"/>
    <col min="7940" max="7940" width="68.54296875" style="810" customWidth="1"/>
    <col min="7941" max="7941" width="35.453125" style="810" customWidth="1"/>
    <col min="7942" max="7942" width="21" style="810" customWidth="1"/>
    <col min="7943" max="7943" width="28.453125" style="810" customWidth="1"/>
    <col min="7944" max="7944" width="30.6328125" style="810" customWidth="1"/>
    <col min="7945" max="7945" width="29.54296875" style="810" customWidth="1"/>
    <col min="7946" max="7946" width="33.54296875" style="810" customWidth="1"/>
    <col min="7947" max="7947" width="26.54296875" style="810" customWidth="1"/>
    <col min="7948" max="7948" width="31.54296875" style="810" customWidth="1"/>
    <col min="7949" max="7949" width="34.36328125" style="810" customWidth="1"/>
    <col min="7950" max="7950" width="45.08984375" style="810" customWidth="1"/>
    <col min="7951" max="8192" width="9.08984375" style="810"/>
    <col min="8193" max="8193" width="4.6328125" style="810" customWidth="1"/>
    <col min="8194" max="8194" width="10.54296875" style="810" customWidth="1"/>
    <col min="8195" max="8195" width="49.08984375" style="810" customWidth="1"/>
    <col min="8196" max="8196" width="68.54296875" style="810" customWidth="1"/>
    <col min="8197" max="8197" width="35.453125" style="810" customWidth="1"/>
    <col min="8198" max="8198" width="21" style="810" customWidth="1"/>
    <col min="8199" max="8199" width="28.453125" style="810" customWidth="1"/>
    <col min="8200" max="8200" width="30.6328125" style="810" customWidth="1"/>
    <col min="8201" max="8201" width="29.54296875" style="810" customWidth="1"/>
    <col min="8202" max="8202" width="33.54296875" style="810" customWidth="1"/>
    <col min="8203" max="8203" width="26.54296875" style="810" customWidth="1"/>
    <col min="8204" max="8204" width="31.54296875" style="810" customWidth="1"/>
    <col min="8205" max="8205" width="34.36328125" style="810" customWidth="1"/>
    <col min="8206" max="8206" width="45.08984375" style="810" customWidth="1"/>
    <col min="8207" max="8448" width="9.08984375" style="810"/>
    <col min="8449" max="8449" width="4.6328125" style="810" customWidth="1"/>
    <col min="8450" max="8450" width="10.54296875" style="810" customWidth="1"/>
    <col min="8451" max="8451" width="49.08984375" style="810" customWidth="1"/>
    <col min="8452" max="8452" width="68.54296875" style="810" customWidth="1"/>
    <col min="8453" max="8453" width="35.453125" style="810" customWidth="1"/>
    <col min="8454" max="8454" width="21" style="810" customWidth="1"/>
    <col min="8455" max="8455" width="28.453125" style="810" customWidth="1"/>
    <col min="8456" max="8456" width="30.6328125" style="810" customWidth="1"/>
    <col min="8457" max="8457" width="29.54296875" style="810" customWidth="1"/>
    <col min="8458" max="8458" width="33.54296875" style="810" customWidth="1"/>
    <col min="8459" max="8459" width="26.54296875" style="810" customWidth="1"/>
    <col min="8460" max="8460" width="31.54296875" style="810" customWidth="1"/>
    <col min="8461" max="8461" width="34.36328125" style="810" customWidth="1"/>
    <col min="8462" max="8462" width="45.08984375" style="810" customWidth="1"/>
    <col min="8463" max="8704" width="9.08984375" style="810"/>
    <col min="8705" max="8705" width="4.6328125" style="810" customWidth="1"/>
    <col min="8706" max="8706" width="10.54296875" style="810" customWidth="1"/>
    <col min="8707" max="8707" width="49.08984375" style="810" customWidth="1"/>
    <col min="8708" max="8708" width="68.54296875" style="810" customWidth="1"/>
    <col min="8709" max="8709" width="35.453125" style="810" customWidth="1"/>
    <col min="8710" max="8710" width="21" style="810" customWidth="1"/>
    <col min="8711" max="8711" width="28.453125" style="810" customWidth="1"/>
    <col min="8712" max="8712" width="30.6328125" style="810" customWidth="1"/>
    <col min="8713" max="8713" width="29.54296875" style="810" customWidth="1"/>
    <col min="8714" max="8714" width="33.54296875" style="810" customWidth="1"/>
    <col min="8715" max="8715" width="26.54296875" style="810" customWidth="1"/>
    <col min="8716" max="8716" width="31.54296875" style="810" customWidth="1"/>
    <col min="8717" max="8717" width="34.36328125" style="810" customWidth="1"/>
    <col min="8718" max="8718" width="45.08984375" style="810" customWidth="1"/>
    <col min="8719" max="8960" width="9.08984375" style="810"/>
    <col min="8961" max="8961" width="4.6328125" style="810" customWidth="1"/>
    <col min="8962" max="8962" width="10.54296875" style="810" customWidth="1"/>
    <col min="8963" max="8963" width="49.08984375" style="810" customWidth="1"/>
    <col min="8964" max="8964" width="68.54296875" style="810" customWidth="1"/>
    <col min="8965" max="8965" width="35.453125" style="810" customWidth="1"/>
    <col min="8966" max="8966" width="21" style="810" customWidth="1"/>
    <col min="8967" max="8967" width="28.453125" style="810" customWidth="1"/>
    <col min="8968" max="8968" width="30.6328125" style="810" customWidth="1"/>
    <col min="8969" max="8969" width="29.54296875" style="810" customWidth="1"/>
    <col min="8970" max="8970" width="33.54296875" style="810" customWidth="1"/>
    <col min="8971" max="8971" width="26.54296875" style="810" customWidth="1"/>
    <col min="8972" max="8972" width="31.54296875" style="810" customWidth="1"/>
    <col min="8973" max="8973" width="34.36328125" style="810" customWidth="1"/>
    <col min="8974" max="8974" width="45.08984375" style="810" customWidth="1"/>
    <col min="8975" max="9216" width="9.08984375" style="810"/>
    <col min="9217" max="9217" width="4.6328125" style="810" customWidth="1"/>
    <col min="9218" max="9218" width="10.54296875" style="810" customWidth="1"/>
    <col min="9219" max="9219" width="49.08984375" style="810" customWidth="1"/>
    <col min="9220" max="9220" width="68.54296875" style="810" customWidth="1"/>
    <col min="9221" max="9221" width="35.453125" style="810" customWidth="1"/>
    <col min="9222" max="9222" width="21" style="810" customWidth="1"/>
    <col min="9223" max="9223" width="28.453125" style="810" customWidth="1"/>
    <col min="9224" max="9224" width="30.6328125" style="810" customWidth="1"/>
    <col min="9225" max="9225" width="29.54296875" style="810" customWidth="1"/>
    <col min="9226" max="9226" width="33.54296875" style="810" customWidth="1"/>
    <col min="9227" max="9227" width="26.54296875" style="810" customWidth="1"/>
    <col min="9228" max="9228" width="31.54296875" style="810" customWidth="1"/>
    <col min="9229" max="9229" width="34.36328125" style="810" customWidth="1"/>
    <col min="9230" max="9230" width="45.08984375" style="810" customWidth="1"/>
    <col min="9231" max="9472" width="9.08984375" style="810"/>
    <col min="9473" max="9473" width="4.6328125" style="810" customWidth="1"/>
    <col min="9474" max="9474" width="10.54296875" style="810" customWidth="1"/>
    <col min="9475" max="9475" width="49.08984375" style="810" customWidth="1"/>
    <col min="9476" max="9476" width="68.54296875" style="810" customWidth="1"/>
    <col min="9477" max="9477" width="35.453125" style="810" customWidth="1"/>
    <col min="9478" max="9478" width="21" style="810" customWidth="1"/>
    <col min="9479" max="9479" width="28.453125" style="810" customWidth="1"/>
    <col min="9480" max="9480" width="30.6328125" style="810" customWidth="1"/>
    <col min="9481" max="9481" width="29.54296875" style="810" customWidth="1"/>
    <col min="9482" max="9482" width="33.54296875" style="810" customWidth="1"/>
    <col min="9483" max="9483" width="26.54296875" style="810" customWidth="1"/>
    <col min="9484" max="9484" width="31.54296875" style="810" customWidth="1"/>
    <col min="9485" max="9485" width="34.36328125" style="810" customWidth="1"/>
    <col min="9486" max="9486" width="45.08984375" style="810" customWidth="1"/>
    <col min="9487" max="9728" width="9.08984375" style="810"/>
    <col min="9729" max="9729" width="4.6328125" style="810" customWidth="1"/>
    <col min="9730" max="9730" width="10.54296875" style="810" customWidth="1"/>
    <col min="9731" max="9731" width="49.08984375" style="810" customWidth="1"/>
    <col min="9732" max="9732" width="68.54296875" style="810" customWidth="1"/>
    <col min="9733" max="9733" width="35.453125" style="810" customWidth="1"/>
    <col min="9734" max="9734" width="21" style="810" customWidth="1"/>
    <col min="9735" max="9735" width="28.453125" style="810" customWidth="1"/>
    <col min="9736" max="9736" width="30.6328125" style="810" customWidth="1"/>
    <col min="9737" max="9737" width="29.54296875" style="810" customWidth="1"/>
    <col min="9738" max="9738" width="33.54296875" style="810" customWidth="1"/>
    <col min="9739" max="9739" width="26.54296875" style="810" customWidth="1"/>
    <col min="9740" max="9740" width="31.54296875" style="810" customWidth="1"/>
    <col min="9741" max="9741" width="34.36328125" style="810" customWidth="1"/>
    <col min="9742" max="9742" width="45.08984375" style="810" customWidth="1"/>
    <col min="9743" max="9984" width="9.08984375" style="810"/>
    <col min="9985" max="9985" width="4.6328125" style="810" customWidth="1"/>
    <col min="9986" max="9986" width="10.54296875" style="810" customWidth="1"/>
    <col min="9987" max="9987" width="49.08984375" style="810" customWidth="1"/>
    <col min="9988" max="9988" width="68.54296875" style="810" customWidth="1"/>
    <col min="9989" max="9989" width="35.453125" style="810" customWidth="1"/>
    <col min="9990" max="9990" width="21" style="810" customWidth="1"/>
    <col min="9991" max="9991" width="28.453125" style="810" customWidth="1"/>
    <col min="9992" max="9992" width="30.6328125" style="810" customWidth="1"/>
    <col min="9993" max="9993" width="29.54296875" style="810" customWidth="1"/>
    <col min="9994" max="9994" width="33.54296875" style="810" customWidth="1"/>
    <col min="9995" max="9995" width="26.54296875" style="810" customWidth="1"/>
    <col min="9996" max="9996" width="31.54296875" style="810" customWidth="1"/>
    <col min="9997" max="9997" width="34.36328125" style="810" customWidth="1"/>
    <col min="9998" max="9998" width="45.08984375" style="810" customWidth="1"/>
    <col min="9999" max="10240" width="9.08984375" style="810"/>
    <col min="10241" max="10241" width="4.6328125" style="810" customWidth="1"/>
    <col min="10242" max="10242" width="10.54296875" style="810" customWidth="1"/>
    <col min="10243" max="10243" width="49.08984375" style="810" customWidth="1"/>
    <col min="10244" max="10244" width="68.54296875" style="810" customWidth="1"/>
    <col min="10245" max="10245" width="35.453125" style="810" customWidth="1"/>
    <col min="10246" max="10246" width="21" style="810" customWidth="1"/>
    <col min="10247" max="10247" width="28.453125" style="810" customWidth="1"/>
    <col min="10248" max="10248" width="30.6328125" style="810" customWidth="1"/>
    <col min="10249" max="10249" width="29.54296875" style="810" customWidth="1"/>
    <col min="10250" max="10250" width="33.54296875" style="810" customWidth="1"/>
    <col min="10251" max="10251" width="26.54296875" style="810" customWidth="1"/>
    <col min="10252" max="10252" width="31.54296875" style="810" customWidth="1"/>
    <col min="10253" max="10253" width="34.36328125" style="810" customWidth="1"/>
    <col min="10254" max="10254" width="45.08984375" style="810" customWidth="1"/>
    <col min="10255" max="10496" width="9.08984375" style="810"/>
    <col min="10497" max="10497" width="4.6328125" style="810" customWidth="1"/>
    <col min="10498" max="10498" width="10.54296875" style="810" customWidth="1"/>
    <col min="10499" max="10499" width="49.08984375" style="810" customWidth="1"/>
    <col min="10500" max="10500" width="68.54296875" style="810" customWidth="1"/>
    <col min="10501" max="10501" width="35.453125" style="810" customWidth="1"/>
    <col min="10502" max="10502" width="21" style="810" customWidth="1"/>
    <col min="10503" max="10503" width="28.453125" style="810" customWidth="1"/>
    <col min="10504" max="10504" width="30.6328125" style="810" customWidth="1"/>
    <col min="10505" max="10505" width="29.54296875" style="810" customWidth="1"/>
    <col min="10506" max="10506" width="33.54296875" style="810" customWidth="1"/>
    <col min="10507" max="10507" width="26.54296875" style="810" customWidth="1"/>
    <col min="10508" max="10508" width="31.54296875" style="810" customWidth="1"/>
    <col min="10509" max="10509" width="34.36328125" style="810" customWidth="1"/>
    <col min="10510" max="10510" width="45.08984375" style="810" customWidth="1"/>
    <col min="10511" max="10752" width="9.08984375" style="810"/>
    <col min="10753" max="10753" width="4.6328125" style="810" customWidth="1"/>
    <col min="10754" max="10754" width="10.54296875" style="810" customWidth="1"/>
    <col min="10755" max="10755" width="49.08984375" style="810" customWidth="1"/>
    <col min="10756" max="10756" width="68.54296875" style="810" customWidth="1"/>
    <col min="10757" max="10757" width="35.453125" style="810" customWidth="1"/>
    <col min="10758" max="10758" width="21" style="810" customWidth="1"/>
    <col min="10759" max="10759" width="28.453125" style="810" customWidth="1"/>
    <col min="10760" max="10760" width="30.6328125" style="810" customWidth="1"/>
    <col min="10761" max="10761" width="29.54296875" style="810" customWidth="1"/>
    <col min="10762" max="10762" width="33.54296875" style="810" customWidth="1"/>
    <col min="10763" max="10763" width="26.54296875" style="810" customWidth="1"/>
    <col min="10764" max="10764" width="31.54296875" style="810" customWidth="1"/>
    <col min="10765" max="10765" width="34.36328125" style="810" customWidth="1"/>
    <col min="10766" max="10766" width="45.08984375" style="810" customWidth="1"/>
    <col min="10767" max="11008" width="9.08984375" style="810"/>
    <col min="11009" max="11009" width="4.6328125" style="810" customWidth="1"/>
    <col min="11010" max="11010" width="10.54296875" style="810" customWidth="1"/>
    <col min="11011" max="11011" width="49.08984375" style="810" customWidth="1"/>
    <col min="11012" max="11012" width="68.54296875" style="810" customWidth="1"/>
    <col min="11013" max="11013" width="35.453125" style="810" customWidth="1"/>
    <col min="11014" max="11014" width="21" style="810" customWidth="1"/>
    <col min="11015" max="11015" width="28.453125" style="810" customWidth="1"/>
    <col min="11016" max="11016" width="30.6328125" style="810" customWidth="1"/>
    <col min="11017" max="11017" width="29.54296875" style="810" customWidth="1"/>
    <col min="11018" max="11018" width="33.54296875" style="810" customWidth="1"/>
    <col min="11019" max="11019" width="26.54296875" style="810" customWidth="1"/>
    <col min="11020" max="11020" width="31.54296875" style="810" customWidth="1"/>
    <col min="11021" max="11021" width="34.36328125" style="810" customWidth="1"/>
    <col min="11022" max="11022" width="45.08984375" style="810" customWidth="1"/>
    <col min="11023" max="11264" width="9.08984375" style="810"/>
    <col min="11265" max="11265" width="4.6328125" style="810" customWidth="1"/>
    <col min="11266" max="11266" width="10.54296875" style="810" customWidth="1"/>
    <col min="11267" max="11267" width="49.08984375" style="810" customWidth="1"/>
    <col min="11268" max="11268" width="68.54296875" style="810" customWidth="1"/>
    <col min="11269" max="11269" width="35.453125" style="810" customWidth="1"/>
    <col min="11270" max="11270" width="21" style="810" customWidth="1"/>
    <col min="11271" max="11271" width="28.453125" style="810" customWidth="1"/>
    <col min="11272" max="11272" width="30.6328125" style="810" customWidth="1"/>
    <col min="11273" max="11273" width="29.54296875" style="810" customWidth="1"/>
    <col min="11274" max="11274" width="33.54296875" style="810" customWidth="1"/>
    <col min="11275" max="11275" width="26.54296875" style="810" customWidth="1"/>
    <col min="11276" max="11276" width="31.54296875" style="810" customWidth="1"/>
    <col min="11277" max="11277" width="34.36328125" style="810" customWidth="1"/>
    <col min="11278" max="11278" width="45.08984375" style="810" customWidth="1"/>
    <col min="11279" max="11520" width="9.08984375" style="810"/>
    <col min="11521" max="11521" width="4.6328125" style="810" customWidth="1"/>
    <col min="11522" max="11522" width="10.54296875" style="810" customWidth="1"/>
    <col min="11523" max="11523" width="49.08984375" style="810" customWidth="1"/>
    <col min="11524" max="11524" width="68.54296875" style="810" customWidth="1"/>
    <col min="11525" max="11525" width="35.453125" style="810" customWidth="1"/>
    <col min="11526" max="11526" width="21" style="810" customWidth="1"/>
    <col min="11527" max="11527" width="28.453125" style="810" customWidth="1"/>
    <col min="11528" max="11528" width="30.6328125" style="810" customWidth="1"/>
    <col min="11529" max="11529" width="29.54296875" style="810" customWidth="1"/>
    <col min="11530" max="11530" width="33.54296875" style="810" customWidth="1"/>
    <col min="11531" max="11531" width="26.54296875" style="810" customWidth="1"/>
    <col min="11532" max="11532" width="31.54296875" style="810" customWidth="1"/>
    <col min="11533" max="11533" width="34.36328125" style="810" customWidth="1"/>
    <col min="11534" max="11534" width="45.08984375" style="810" customWidth="1"/>
    <col min="11535" max="11776" width="9.08984375" style="810"/>
    <col min="11777" max="11777" width="4.6328125" style="810" customWidth="1"/>
    <col min="11778" max="11778" width="10.54296875" style="810" customWidth="1"/>
    <col min="11779" max="11779" width="49.08984375" style="810" customWidth="1"/>
    <col min="11780" max="11780" width="68.54296875" style="810" customWidth="1"/>
    <col min="11781" max="11781" width="35.453125" style="810" customWidth="1"/>
    <col min="11782" max="11782" width="21" style="810" customWidth="1"/>
    <col min="11783" max="11783" width="28.453125" style="810" customWidth="1"/>
    <col min="11784" max="11784" width="30.6328125" style="810" customWidth="1"/>
    <col min="11785" max="11785" width="29.54296875" style="810" customWidth="1"/>
    <col min="11786" max="11786" width="33.54296875" style="810" customWidth="1"/>
    <col min="11787" max="11787" width="26.54296875" style="810" customWidth="1"/>
    <col min="11788" max="11788" width="31.54296875" style="810" customWidth="1"/>
    <col min="11789" max="11789" width="34.36328125" style="810" customWidth="1"/>
    <col min="11790" max="11790" width="45.08984375" style="810" customWidth="1"/>
    <col min="11791" max="12032" width="9.08984375" style="810"/>
    <col min="12033" max="12033" width="4.6328125" style="810" customWidth="1"/>
    <col min="12034" max="12034" width="10.54296875" style="810" customWidth="1"/>
    <col min="12035" max="12035" width="49.08984375" style="810" customWidth="1"/>
    <col min="12036" max="12036" width="68.54296875" style="810" customWidth="1"/>
    <col min="12037" max="12037" width="35.453125" style="810" customWidth="1"/>
    <col min="12038" max="12038" width="21" style="810" customWidth="1"/>
    <col min="12039" max="12039" width="28.453125" style="810" customWidth="1"/>
    <col min="12040" max="12040" width="30.6328125" style="810" customWidth="1"/>
    <col min="12041" max="12041" width="29.54296875" style="810" customWidth="1"/>
    <col min="12042" max="12042" width="33.54296875" style="810" customWidth="1"/>
    <col min="12043" max="12043" width="26.54296875" style="810" customWidth="1"/>
    <col min="12044" max="12044" width="31.54296875" style="810" customWidth="1"/>
    <col min="12045" max="12045" width="34.36328125" style="810" customWidth="1"/>
    <col min="12046" max="12046" width="45.08984375" style="810" customWidth="1"/>
    <col min="12047" max="12288" width="9.08984375" style="810"/>
    <col min="12289" max="12289" width="4.6328125" style="810" customWidth="1"/>
    <col min="12290" max="12290" width="10.54296875" style="810" customWidth="1"/>
    <col min="12291" max="12291" width="49.08984375" style="810" customWidth="1"/>
    <col min="12292" max="12292" width="68.54296875" style="810" customWidth="1"/>
    <col min="12293" max="12293" width="35.453125" style="810" customWidth="1"/>
    <col min="12294" max="12294" width="21" style="810" customWidth="1"/>
    <col min="12295" max="12295" width="28.453125" style="810" customWidth="1"/>
    <col min="12296" max="12296" width="30.6328125" style="810" customWidth="1"/>
    <col min="12297" max="12297" width="29.54296875" style="810" customWidth="1"/>
    <col min="12298" max="12298" width="33.54296875" style="810" customWidth="1"/>
    <col min="12299" max="12299" width="26.54296875" style="810" customWidth="1"/>
    <col min="12300" max="12300" width="31.54296875" style="810" customWidth="1"/>
    <col min="12301" max="12301" width="34.36328125" style="810" customWidth="1"/>
    <col min="12302" max="12302" width="45.08984375" style="810" customWidth="1"/>
    <col min="12303" max="12544" width="9.08984375" style="810"/>
    <col min="12545" max="12545" width="4.6328125" style="810" customWidth="1"/>
    <col min="12546" max="12546" width="10.54296875" style="810" customWidth="1"/>
    <col min="12547" max="12547" width="49.08984375" style="810" customWidth="1"/>
    <col min="12548" max="12548" width="68.54296875" style="810" customWidth="1"/>
    <col min="12549" max="12549" width="35.453125" style="810" customWidth="1"/>
    <col min="12550" max="12550" width="21" style="810" customWidth="1"/>
    <col min="12551" max="12551" width="28.453125" style="810" customWidth="1"/>
    <col min="12552" max="12552" width="30.6328125" style="810" customWidth="1"/>
    <col min="12553" max="12553" width="29.54296875" style="810" customWidth="1"/>
    <col min="12554" max="12554" width="33.54296875" style="810" customWidth="1"/>
    <col min="12555" max="12555" width="26.54296875" style="810" customWidth="1"/>
    <col min="12556" max="12556" width="31.54296875" style="810" customWidth="1"/>
    <col min="12557" max="12557" width="34.36328125" style="810" customWidth="1"/>
    <col min="12558" max="12558" width="45.08984375" style="810" customWidth="1"/>
    <col min="12559" max="12800" width="9.08984375" style="810"/>
    <col min="12801" max="12801" width="4.6328125" style="810" customWidth="1"/>
    <col min="12802" max="12802" width="10.54296875" style="810" customWidth="1"/>
    <col min="12803" max="12803" width="49.08984375" style="810" customWidth="1"/>
    <col min="12804" max="12804" width="68.54296875" style="810" customWidth="1"/>
    <col min="12805" max="12805" width="35.453125" style="810" customWidth="1"/>
    <col min="12806" max="12806" width="21" style="810" customWidth="1"/>
    <col min="12807" max="12807" width="28.453125" style="810" customWidth="1"/>
    <col min="12808" max="12808" width="30.6328125" style="810" customWidth="1"/>
    <col min="12809" max="12809" width="29.54296875" style="810" customWidth="1"/>
    <col min="12810" max="12810" width="33.54296875" style="810" customWidth="1"/>
    <col min="12811" max="12811" width="26.54296875" style="810" customWidth="1"/>
    <col min="12812" max="12812" width="31.54296875" style="810" customWidth="1"/>
    <col min="12813" max="12813" width="34.36328125" style="810" customWidth="1"/>
    <col min="12814" max="12814" width="45.08984375" style="810" customWidth="1"/>
    <col min="12815" max="13056" width="9.08984375" style="810"/>
    <col min="13057" max="13057" width="4.6328125" style="810" customWidth="1"/>
    <col min="13058" max="13058" width="10.54296875" style="810" customWidth="1"/>
    <col min="13059" max="13059" width="49.08984375" style="810" customWidth="1"/>
    <col min="13060" max="13060" width="68.54296875" style="810" customWidth="1"/>
    <col min="13061" max="13061" width="35.453125" style="810" customWidth="1"/>
    <col min="13062" max="13062" width="21" style="810" customWidth="1"/>
    <col min="13063" max="13063" width="28.453125" style="810" customWidth="1"/>
    <col min="13064" max="13064" width="30.6328125" style="810" customWidth="1"/>
    <col min="13065" max="13065" width="29.54296875" style="810" customWidth="1"/>
    <col min="13066" max="13066" width="33.54296875" style="810" customWidth="1"/>
    <col min="13067" max="13067" width="26.54296875" style="810" customWidth="1"/>
    <col min="13068" max="13068" width="31.54296875" style="810" customWidth="1"/>
    <col min="13069" max="13069" width="34.36328125" style="810" customWidth="1"/>
    <col min="13070" max="13070" width="45.08984375" style="810" customWidth="1"/>
    <col min="13071" max="13312" width="9.08984375" style="810"/>
    <col min="13313" max="13313" width="4.6328125" style="810" customWidth="1"/>
    <col min="13314" max="13314" width="10.54296875" style="810" customWidth="1"/>
    <col min="13315" max="13315" width="49.08984375" style="810" customWidth="1"/>
    <col min="13316" max="13316" width="68.54296875" style="810" customWidth="1"/>
    <col min="13317" max="13317" width="35.453125" style="810" customWidth="1"/>
    <col min="13318" max="13318" width="21" style="810" customWidth="1"/>
    <col min="13319" max="13319" width="28.453125" style="810" customWidth="1"/>
    <col min="13320" max="13320" width="30.6328125" style="810" customWidth="1"/>
    <col min="13321" max="13321" width="29.54296875" style="810" customWidth="1"/>
    <col min="13322" max="13322" width="33.54296875" style="810" customWidth="1"/>
    <col min="13323" max="13323" width="26.54296875" style="810" customWidth="1"/>
    <col min="13324" max="13324" width="31.54296875" style="810" customWidth="1"/>
    <col min="13325" max="13325" width="34.36328125" style="810" customWidth="1"/>
    <col min="13326" max="13326" width="45.08984375" style="810" customWidth="1"/>
    <col min="13327" max="13568" width="9.08984375" style="810"/>
    <col min="13569" max="13569" width="4.6328125" style="810" customWidth="1"/>
    <col min="13570" max="13570" width="10.54296875" style="810" customWidth="1"/>
    <col min="13571" max="13571" width="49.08984375" style="810" customWidth="1"/>
    <col min="13572" max="13572" width="68.54296875" style="810" customWidth="1"/>
    <col min="13573" max="13573" width="35.453125" style="810" customWidth="1"/>
    <col min="13574" max="13574" width="21" style="810" customWidth="1"/>
    <col min="13575" max="13575" width="28.453125" style="810" customWidth="1"/>
    <col min="13576" max="13576" width="30.6328125" style="810" customWidth="1"/>
    <col min="13577" max="13577" width="29.54296875" style="810" customWidth="1"/>
    <col min="13578" max="13578" width="33.54296875" style="810" customWidth="1"/>
    <col min="13579" max="13579" width="26.54296875" style="810" customWidth="1"/>
    <col min="13580" max="13580" width="31.54296875" style="810" customWidth="1"/>
    <col min="13581" max="13581" width="34.36328125" style="810" customWidth="1"/>
    <col min="13582" max="13582" width="45.08984375" style="810" customWidth="1"/>
    <col min="13583" max="13824" width="9.08984375" style="810"/>
    <col min="13825" max="13825" width="4.6328125" style="810" customWidth="1"/>
    <col min="13826" max="13826" width="10.54296875" style="810" customWidth="1"/>
    <col min="13827" max="13827" width="49.08984375" style="810" customWidth="1"/>
    <col min="13828" max="13828" width="68.54296875" style="810" customWidth="1"/>
    <col min="13829" max="13829" width="35.453125" style="810" customWidth="1"/>
    <col min="13830" max="13830" width="21" style="810" customWidth="1"/>
    <col min="13831" max="13831" width="28.453125" style="810" customWidth="1"/>
    <col min="13832" max="13832" width="30.6328125" style="810" customWidth="1"/>
    <col min="13833" max="13833" width="29.54296875" style="810" customWidth="1"/>
    <col min="13834" max="13834" width="33.54296875" style="810" customWidth="1"/>
    <col min="13835" max="13835" width="26.54296875" style="810" customWidth="1"/>
    <col min="13836" max="13836" width="31.54296875" style="810" customWidth="1"/>
    <col min="13837" max="13837" width="34.36328125" style="810" customWidth="1"/>
    <col min="13838" max="13838" width="45.08984375" style="810" customWidth="1"/>
    <col min="13839" max="14080" width="9.08984375" style="810"/>
    <col min="14081" max="14081" width="4.6328125" style="810" customWidth="1"/>
    <col min="14082" max="14082" width="10.54296875" style="810" customWidth="1"/>
    <col min="14083" max="14083" width="49.08984375" style="810" customWidth="1"/>
    <col min="14084" max="14084" width="68.54296875" style="810" customWidth="1"/>
    <col min="14085" max="14085" width="35.453125" style="810" customWidth="1"/>
    <col min="14086" max="14086" width="21" style="810" customWidth="1"/>
    <col min="14087" max="14087" width="28.453125" style="810" customWidth="1"/>
    <col min="14088" max="14088" width="30.6328125" style="810" customWidth="1"/>
    <col min="14089" max="14089" width="29.54296875" style="810" customWidth="1"/>
    <col min="14090" max="14090" width="33.54296875" style="810" customWidth="1"/>
    <col min="14091" max="14091" width="26.54296875" style="810" customWidth="1"/>
    <col min="14092" max="14092" width="31.54296875" style="810" customWidth="1"/>
    <col min="14093" max="14093" width="34.36328125" style="810" customWidth="1"/>
    <col min="14094" max="14094" width="45.08984375" style="810" customWidth="1"/>
    <col min="14095" max="14336" width="9.08984375" style="810"/>
    <col min="14337" max="14337" width="4.6328125" style="810" customWidth="1"/>
    <col min="14338" max="14338" width="10.54296875" style="810" customWidth="1"/>
    <col min="14339" max="14339" width="49.08984375" style="810" customWidth="1"/>
    <col min="14340" max="14340" width="68.54296875" style="810" customWidth="1"/>
    <col min="14341" max="14341" width="35.453125" style="810" customWidth="1"/>
    <col min="14342" max="14342" width="21" style="810" customWidth="1"/>
    <col min="14343" max="14343" width="28.453125" style="810" customWidth="1"/>
    <col min="14344" max="14344" width="30.6328125" style="810" customWidth="1"/>
    <col min="14345" max="14345" width="29.54296875" style="810" customWidth="1"/>
    <col min="14346" max="14346" width="33.54296875" style="810" customWidth="1"/>
    <col min="14347" max="14347" width="26.54296875" style="810" customWidth="1"/>
    <col min="14348" max="14348" width="31.54296875" style="810" customWidth="1"/>
    <col min="14349" max="14349" width="34.36328125" style="810" customWidth="1"/>
    <col min="14350" max="14350" width="45.08984375" style="810" customWidth="1"/>
    <col min="14351" max="14592" width="9.08984375" style="810"/>
    <col min="14593" max="14593" width="4.6328125" style="810" customWidth="1"/>
    <col min="14594" max="14594" width="10.54296875" style="810" customWidth="1"/>
    <col min="14595" max="14595" width="49.08984375" style="810" customWidth="1"/>
    <col min="14596" max="14596" width="68.54296875" style="810" customWidth="1"/>
    <col min="14597" max="14597" width="35.453125" style="810" customWidth="1"/>
    <col min="14598" max="14598" width="21" style="810" customWidth="1"/>
    <col min="14599" max="14599" width="28.453125" style="810" customWidth="1"/>
    <col min="14600" max="14600" width="30.6328125" style="810" customWidth="1"/>
    <col min="14601" max="14601" width="29.54296875" style="810" customWidth="1"/>
    <col min="14602" max="14602" width="33.54296875" style="810" customWidth="1"/>
    <col min="14603" max="14603" width="26.54296875" style="810" customWidth="1"/>
    <col min="14604" max="14604" width="31.54296875" style="810" customWidth="1"/>
    <col min="14605" max="14605" width="34.36328125" style="810" customWidth="1"/>
    <col min="14606" max="14606" width="45.08984375" style="810" customWidth="1"/>
    <col min="14607" max="14848" width="9.08984375" style="810"/>
    <col min="14849" max="14849" width="4.6328125" style="810" customWidth="1"/>
    <col min="14850" max="14850" width="10.54296875" style="810" customWidth="1"/>
    <col min="14851" max="14851" width="49.08984375" style="810" customWidth="1"/>
    <col min="14852" max="14852" width="68.54296875" style="810" customWidth="1"/>
    <col min="14853" max="14853" width="35.453125" style="810" customWidth="1"/>
    <col min="14854" max="14854" width="21" style="810" customWidth="1"/>
    <col min="14855" max="14855" width="28.453125" style="810" customWidth="1"/>
    <col min="14856" max="14856" width="30.6328125" style="810" customWidth="1"/>
    <col min="14857" max="14857" width="29.54296875" style="810" customWidth="1"/>
    <col min="14858" max="14858" width="33.54296875" style="810" customWidth="1"/>
    <col min="14859" max="14859" width="26.54296875" style="810" customWidth="1"/>
    <col min="14860" max="14860" width="31.54296875" style="810" customWidth="1"/>
    <col min="14861" max="14861" width="34.36328125" style="810" customWidth="1"/>
    <col min="14862" max="14862" width="45.08984375" style="810" customWidth="1"/>
    <col min="14863" max="15104" width="9.08984375" style="810"/>
    <col min="15105" max="15105" width="4.6328125" style="810" customWidth="1"/>
    <col min="15106" max="15106" width="10.54296875" style="810" customWidth="1"/>
    <col min="15107" max="15107" width="49.08984375" style="810" customWidth="1"/>
    <col min="15108" max="15108" width="68.54296875" style="810" customWidth="1"/>
    <col min="15109" max="15109" width="35.453125" style="810" customWidth="1"/>
    <col min="15110" max="15110" width="21" style="810" customWidth="1"/>
    <col min="15111" max="15111" width="28.453125" style="810" customWidth="1"/>
    <col min="15112" max="15112" width="30.6328125" style="810" customWidth="1"/>
    <col min="15113" max="15113" width="29.54296875" style="810" customWidth="1"/>
    <col min="15114" max="15114" width="33.54296875" style="810" customWidth="1"/>
    <col min="15115" max="15115" width="26.54296875" style="810" customWidth="1"/>
    <col min="15116" max="15116" width="31.54296875" style="810" customWidth="1"/>
    <col min="15117" max="15117" width="34.36328125" style="810" customWidth="1"/>
    <col min="15118" max="15118" width="45.08984375" style="810" customWidth="1"/>
    <col min="15119" max="15360" width="9.08984375" style="810"/>
    <col min="15361" max="15361" width="4.6328125" style="810" customWidth="1"/>
    <col min="15362" max="15362" width="10.54296875" style="810" customWidth="1"/>
    <col min="15363" max="15363" width="49.08984375" style="810" customWidth="1"/>
    <col min="15364" max="15364" width="68.54296875" style="810" customWidth="1"/>
    <col min="15365" max="15365" width="35.453125" style="810" customWidth="1"/>
    <col min="15366" max="15366" width="21" style="810" customWidth="1"/>
    <col min="15367" max="15367" width="28.453125" style="810" customWidth="1"/>
    <col min="15368" max="15368" width="30.6328125" style="810" customWidth="1"/>
    <col min="15369" max="15369" width="29.54296875" style="810" customWidth="1"/>
    <col min="15370" max="15370" width="33.54296875" style="810" customWidth="1"/>
    <col min="15371" max="15371" width="26.54296875" style="810" customWidth="1"/>
    <col min="15372" max="15372" width="31.54296875" style="810" customWidth="1"/>
    <col min="15373" max="15373" width="34.36328125" style="810" customWidth="1"/>
    <col min="15374" max="15374" width="45.08984375" style="810" customWidth="1"/>
    <col min="15375" max="15616" width="9.08984375" style="810"/>
    <col min="15617" max="15617" width="4.6328125" style="810" customWidth="1"/>
    <col min="15618" max="15618" width="10.54296875" style="810" customWidth="1"/>
    <col min="15619" max="15619" width="49.08984375" style="810" customWidth="1"/>
    <col min="15620" max="15620" width="68.54296875" style="810" customWidth="1"/>
    <col min="15621" max="15621" width="35.453125" style="810" customWidth="1"/>
    <col min="15622" max="15622" width="21" style="810" customWidth="1"/>
    <col min="15623" max="15623" width="28.453125" style="810" customWidth="1"/>
    <col min="15624" max="15624" width="30.6328125" style="810" customWidth="1"/>
    <col min="15625" max="15625" width="29.54296875" style="810" customWidth="1"/>
    <col min="15626" max="15626" width="33.54296875" style="810" customWidth="1"/>
    <col min="15627" max="15627" width="26.54296875" style="810" customWidth="1"/>
    <col min="15628" max="15628" width="31.54296875" style="810" customWidth="1"/>
    <col min="15629" max="15629" width="34.36328125" style="810" customWidth="1"/>
    <col min="15630" max="15630" width="45.08984375" style="810" customWidth="1"/>
    <col min="15631" max="15872" width="9.08984375" style="810"/>
    <col min="15873" max="15873" width="4.6328125" style="810" customWidth="1"/>
    <col min="15874" max="15874" width="10.54296875" style="810" customWidth="1"/>
    <col min="15875" max="15875" width="49.08984375" style="810" customWidth="1"/>
    <col min="15876" max="15876" width="68.54296875" style="810" customWidth="1"/>
    <col min="15877" max="15877" width="35.453125" style="810" customWidth="1"/>
    <col min="15878" max="15878" width="21" style="810" customWidth="1"/>
    <col min="15879" max="15879" width="28.453125" style="810" customWidth="1"/>
    <col min="15880" max="15880" width="30.6328125" style="810" customWidth="1"/>
    <col min="15881" max="15881" width="29.54296875" style="810" customWidth="1"/>
    <col min="15882" max="15882" width="33.54296875" style="810" customWidth="1"/>
    <col min="15883" max="15883" width="26.54296875" style="810" customWidth="1"/>
    <col min="15884" max="15884" width="31.54296875" style="810" customWidth="1"/>
    <col min="15885" max="15885" width="34.36328125" style="810" customWidth="1"/>
    <col min="15886" max="15886" width="45.08984375" style="810" customWidth="1"/>
    <col min="15887" max="16128" width="9.08984375" style="810"/>
    <col min="16129" max="16129" width="4.6328125" style="810" customWidth="1"/>
    <col min="16130" max="16130" width="10.54296875" style="810" customWidth="1"/>
    <col min="16131" max="16131" width="49.08984375" style="810" customWidth="1"/>
    <col min="16132" max="16132" width="68.54296875" style="810" customWidth="1"/>
    <col min="16133" max="16133" width="35.453125" style="810" customWidth="1"/>
    <col min="16134" max="16134" width="21" style="810" customWidth="1"/>
    <col min="16135" max="16135" width="28.453125" style="810" customWidth="1"/>
    <col min="16136" max="16136" width="30.6328125" style="810" customWidth="1"/>
    <col min="16137" max="16137" width="29.54296875" style="810" customWidth="1"/>
    <col min="16138" max="16138" width="33.54296875" style="810" customWidth="1"/>
    <col min="16139" max="16139" width="26.54296875" style="810" customWidth="1"/>
    <col min="16140" max="16140" width="31.54296875" style="810" customWidth="1"/>
    <col min="16141" max="16141" width="34.36328125" style="810" customWidth="1"/>
    <col min="16142" max="16142" width="45.08984375" style="810" customWidth="1"/>
    <col min="16143" max="16384" width="9.08984375" style="810"/>
  </cols>
  <sheetData>
    <row r="1" spans="2:14" x14ac:dyDescent="0.3">
      <c r="C1" s="811"/>
      <c r="D1" s="811"/>
    </row>
    <row r="2" spans="2:14" ht="31.5" customHeight="1" x14ac:dyDescent="0.3">
      <c r="C2" s="813"/>
      <c r="D2" s="813"/>
      <c r="E2" s="813"/>
      <c r="F2" s="813"/>
      <c r="G2" s="813"/>
      <c r="H2" s="813"/>
      <c r="I2" s="813"/>
      <c r="J2" s="813"/>
      <c r="K2" s="813"/>
      <c r="L2" s="813"/>
      <c r="M2" s="813"/>
      <c r="N2" s="813"/>
    </row>
    <row r="3" spans="2:14" s="661" customFormat="1" x14ac:dyDescent="0.3">
      <c r="B3" s="22"/>
      <c r="C3" s="814"/>
      <c r="D3" s="22"/>
      <c r="E3" s="22"/>
      <c r="F3" s="22"/>
      <c r="G3" s="22"/>
      <c r="H3" s="693" t="str">
        <f>Index!B2</f>
        <v xml:space="preserve">      Maharashtra State Power Generation Company Ltd.</v>
      </c>
    </row>
    <row r="4" spans="2:14" s="661" customFormat="1" x14ac:dyDescent="0.3">
      <c r="B4" s="813"/>
      <c r="C4" s="814"/>
      <c r="D4" s="762"/>
      <c r="E4" s="762"/>
      <c r="F4" s="762"/>
      <c r="G4" s="762"/>
      <c r="H4" s="697" t="s">
        <v>1035</v>
      </c>
    </row>
    <row r="5" spans="2:14" s="661" customFormat="1" x14ac:dyDescent="0.3">
      <c r="B5" s="813"/>
      <c r="C5" s="814"/>
      <c r="D5" s="762"/>
      <c r="E5" s="762"/>
      <c r="F5" s="762"/>
      <c r="G5" s="762"/>
      <c r="H5" s="790" t="s">
        <v>1133</v>
      </c>
    </row>
    <row r="6" spans="2:14" s="661" customFormat="1" x14ac:dyDescent="0.3">
      <c r="B6" s="813"/>
      <c r="C6" s="814"/>
      <c r="D6" s="762"/>
      <c r="E6" s="762"/>
      <c r="F6" s="762"/>
      <c r="G6" s="762"/>
      <c r="H6" s="790"/>
    </row>
    <row r="7" spans="2:14" ht="81" customHeight="1" x14ac:dyDescent="0.3">
      <c r="B7" s="815" t="s">
        <v>343</v>
      </c>
      <c r="C7" s="815" t="s">
        <v>1041</v>
      </c>
      <c r="D7" s="815" t="s">
        <v>1134</v>
      </c>
      <c r="E7" s="815" t="s">
        <v>1135</v>
      </c>
      <c r="F7" s="815" t="s">
        <v>1136</v>
      </c>
      <c r="G7" s="815" t="s">
        <v>1137</v>
      </c>
      <c r="H7" s="815" t="s">
        <v>1138</v>
      </c>
      <c r="I7" s="815" t="s">
        <v>1139</v>
      </c>
      <c r="J7" s="815" t="s">
        <v>1140</v>
      </c>
      <c r="K7" s="815" t="s">
        <v>1141</v>
      </c>
      <c r="L7" s="815" t="s">
        <v>1142</v>
      </c>
      <c r="M7" s="816" t="s">
        <v>1143</v>
      </c>
      <c r="N7" s="815" t="s">
        <v>1144</v>
      </c>
    </row>
    <row r="8" spans="2:14" x14ac:dyDescent="0.3">
      <c r="B8" s="817"/>
      <c r="C8" s="1736" t="s">
        <v>1041</v>
      </c>
      <c r="D8" s="1737"/>
      <c r="E8" s="1737"/>
      <c r="F8" s="1737"/>
      <c r="G8" s="1737"/>
      <c r="H8" s="1737"/>
      <c r="I8" s="1737"/>
      <c r="J8" s="1737"/>
      <c r="K8" s="1737"/>
      <c r="L8" s="1737"/>
      <c r="M8" s="1737"/>
      <c r="N8" s="1738"/>
    </row>
    <row r="9" spans="2:14" s="818" customFormat="1" x14ac:dyDescent="0.3">
      <c r="B9" s="817"/>
      <c r="C9" s="1739"/>
      <c r="D9" s="1740"/>
      <c r="E9" s="1740"/>
      <c r="F9" s="1740"/>
      <c r="G9" s="1740"/>
      <c r="H9" s="1740"/>
      <c r="I9" s="1740"/>
      <c r="J9" s="1740"/>
      <c r="K9" s="1740"/>
      <c r="L9" s="1740"/>
      <c r="M9" s="1740"/>
      <c r="N9" s="1741"/>
    </row>
    <row r="10" spans="2:14" x14ac:dyDescent="0.3">
      <c r="B10" s="817"/>
      <c r="C10" s="1739"/>
      <c r="D10" s="1740"/>
      <c r="E10" s="1740"/>
      <c r="F10" s="1740"/>
      <c r="G10" s="1740"/>
      <c r="H10" s="1740"/>
      <c r="I10" s="1740"/>
      <c r="J10" s="1740"/>
      <c r="K10" s="1740"/>
      <c r="L10" s="1740"/>
      <c r="M10" s="1740"/>
      <c r="N10" s="1741"/>
    </row>
    <row r="11" spans="2:14" x14ac:dyDescent="0.3">
      <c r="B11" s="817"/>
      <c r="C11" s="1739"/>
      <c r="D11" s="1740"/>
      <c r="E11" s="1740"/>
      <c r="F11" s="1740"/>
      <c r="G11" s="1740"/>
      <c r="H11" s="1740"/>
      <c r="I11" s="1740"/>
      <c r="J11" s="1740"/>
      <c r="K11" s="1740"/>
      <c r="L11" s="1740"/>
      <c r="M11" s="1740"/>
      <c r="N11" s="1741"/>
    </row>
    <row r="12" spans="2:14" x14ac:dyDescent="0.3">
      <c r="B12" s="817"/>
      <c r="C12" s="1739"/>
      <c r="D12" s="1740"/>
      <c r="E12" s="1740"/>
      <c r="F12" s="1740"/>
      <c r="G12" s="1740"/>
      <c r="H12" s="1740"/>
      <c r="I12" s="1740"/>
      <c r="J12" s="1740"/>
      <c r="K12" s="1740"/>
      <c r="L12" s="1740"/>
      <c r="M12" s="1740"/>
      <c r="N12" s="1741"/>
    </row>
    <row r="13" spans="2:14" ht="14.5" thickBot="1" x14ac:dyDescent="0.35">
      <c r="B13" s="819"/>
      <c r="C13" s="1742"/>
      <c r="D13" s="1743"/>
      <c r="E13" s="1743"/>
      <c r="F13" s="1743"/>
      <c r="G13" s="1743"/>
      <c r="H13" s="1743"/>
      <c r="I13" s="1743"/>
      <c r="J13" s="1743"/>
      <c r="K13" s="1743"/>
      <c r="L13" s="1743"/>
      <c r="M13" s="1743"/>
      <c r="N13" s="1744"/>
    </row>
    <row r="14" spans="2:14" x14ac:dyDescent="0.3">
      <c r="M14" s="810"/>
    </row>
    <row r="15" spans="2:14" x14ac:dyDescent="0.3">
      <c r="M15" s="810"/>
    </row>
    <row r="16" spans="2:14" x14ac:dyDescent="0.3">
      <c r="M16" s="810"/>
    </row>
    <row r="17" spans="3:13" x14ac:dyDescent="0.3">
      <c r="M17" s="810"/>
    </row>
    <row r="18" spans="3:13" x14ac:dyDescent="0.3">
      <c r="M18" s="810"/>
    </row>
    <row r="19" spans="3:13" x14ac:dyDescent="0.3">
      <c r="M19" s="810"/>
    </row>
    <row r="20" spans="3:13" x14ac:dyDescent="0.3">
      <c r="M20" s="810"/>
    </row>
    <row r="21" spans="3:13" x14ac:dyDescent="0.3">
      <c r="M21" s="810"/>
    </row>
    <row r="22" spans="3:13" x14ac:dyDescent="0.3">
      <c r="M22" s="810"/>
    </row>
    <row r="23" spans="3:13" ht="27.75" customHeight="1" x14ac:dyDescent="0.3">
      <c r="M23" s="810"/>
    </row>
    <row r="24" spans="3:13" ht="27.75" customHeight="1" x14ac:dyDescent="0.3">
      <c r="M24" s="810"/>
    </row>
    <row r="25" spans="3:13" x14ac:dyDescent="0.3">
      <c r="M25" s="810"/>
    </row>
    <row r="26" spans="3:13" x14ac:dyDescent="0.3">
      <c r="M26" s="810"/>
    </row>
    <row r="27" spans="3:13" x14ac:dyDescent="0.3">
      <c r="M27" s="810"/>
    </row>
    <row r="28" spans="3:13" x14ac:dyDescent="0.3">
      <c r="M28" s="810"/>
    </row>
    <row r="29" spans="3:13" ht="29.4" customHeight="1" x14ac:dyDescent="0.3">
      <c r="C29" s="820"/>
      <c r="M29" s="810"/>
    </row>
    <row r="30" spans="3:13" x14ac:dyDescent="0.3">
      <c r="M30" s="810"/>
    </row>
    <row r="31" spans="3:13" x14ac:dyDescent="0.3">
      <c r="M31" s="810"/>
    </row>
    <row r="32" spans="3:13" x14ac:dyDescent="0.3">
      <c r="M32" s="810"/>
    </row>
    <row r="33" spans="13:14" x14ac:dyDescent="0.3">
      <c r="M33" s="810"/>
    </row>
    <row r="34" spans="13:14" x14ac:dyDescent="0.3">
      <c r="M34" s="810"/>
    </row>
    <row r="35" spans="13:14" x14ac:dyDescent="0.3">
      <c r="M35" s="810"/>
    </row>
    <row r="36" spans="13:14" x14ac:dyDescent="0.3">
      <c r="M36" s="810"/>
    </row>
    <row r="37" spans="13:14" x14ac:dyDescent="0.3">
      <c r="M37" s="810"/>
    </row>
    <row r="38" spans="13:14" x14ac:dyDescent="0.3">
      <c r="M38" s="810"/>
    </row>
    <row r="39" spans="13:14" x14ac:dyDescent="0.3">
      <c r="M39" s="810"/>
    </row>
    <row r="40" spans="13:14" x14ac:dyDescent="0.3">
      <c r="M40" s="810"/>
    </row>
    <row r="41" spans="13:14" x14ac:dyDescent="0.3">
      <c r="M41" s="810"/>
    </row>
    <row r="42" spans="13:14" x14ac:dyDescent="0.3">
      <c r="M42" s="810"/>
    </row>
    <row r="43" spans="13:14" x14ac:dyDescent="0.3">
      <c r="M43" s="810"/>
    </row>
    <row r="44" spans="13:14" x14ac:dyDescent="0.3">
      <c r="M44" s="810"/>
    </row>
    <row r="45" spans="13:14" x14ac:dyDescent="0.3">
      <c r="M45" s="810"/>
      <c r="N45" s="821"/>
    </row>
    <row r="46" spans="13:14" x14ac:dyDescent="0.3">
      <c r="M46" s="810"/>
    </row>
    <row r="47" spans="13:14" x14ac:dyDescent="0.3">
      <c r="M47" s="810"/>
    </row>
    <row r="48" spans="13:14" x14ac:dyDescent="0.3">
      <c r="M48" s="810"/>
    </row>
    <row r="49" spans="4:14" x14ac:dyDescent="0.3">
      <c r="M49" s="810"/>
    </row>
    <row r="50" spans="4:14" x14ac:dyDescent="0.3">
      <c r="M50" s="810"/>
    </row>
    <row r="51" spans="4:14" x14ac:dyDescent="0.3">
      <c r="M51" s="810"/>
    </row>
    <row r="52" spans="4:14" x14ac:dyDescent="0.3">
      <c r="M52" s="810"/>
    </row>
    <row r="53" spans="4:14" x14ac:dyDescent="0.3">
      <c r="M53" s="810"/>
    </row>
    <row r="54" spans="4:14" x14ac:dyDescent="0.3">
      <c r="M54" s="810"/>
    </row>
    <row r="55" spans="4:14" x14ac:dyDescent="0.3">
      <c r="M55" s="810"/>
    </row>
    <row r="56" spans="4:14" x14ac:dyDescent="0.3">
      <c r="M56" s="810"/>
    </row>
    <row r="57" spans="4:14" x14ac:dyDescent="0.3">
      <c r="M57" s="810"/>
    </row>
    <row r="58" spans="4:14" x14ac:dyDescent="0.3">
      <c r="M58" s="810"/>
    </row>
    <row r="59" spans="4:14" x14ac:dyDescent="0.3">
      <c r="M59" s="810"/>
      <c r="N59" s="821"/>
    </row>
    <row r="60" spans="4:14" x14ac:dyDescent="0.3">
      <c r="M60" s="810"/>
    </row>
    <row r="61" spans="4:14" x14ac:dyDescent="0.3">
      <c r="M61" s="810"/>
    </row>
    <row r="62" spans="4:14" x14ac:dyDescent="0.3">
      <c r="M62" s="822"/>
    </row>
    <row r="63" spans="4:14" x14ac:dyDescent="0.3">
      <c r="M63" s="823"/>
    </row>
    <row r="64" spans="4:14" x14ac:dyDescent="0.3">
      <c r="D64" s="824"/>
    </row>
    <row r="65" spans="13:13" x14ac:dyDescent="0.3">
      <c r="M65" s="823"/>
    </row>
    <row r="70" spans="13:13" x14ac:dyDescent="0.3">
      <c r="M70" s="822"/>
    </row>
    <row r="73" spans="13:13" x14ac:dyDescent="0.3">
      <c r="M73" s="822"/>
    </row>
    <row r="75" spans="13:13" x14ac:dyDescent="0.3">
      <c r="M75" s="825"/>
    </row>
    <row r="76" spans="13:13" x14ac:dyDescent="0.3">
      <c r="M76" s="826"/>
    </row>
  </sheetData>
  <mergeCells count="1">
    <mergeCell ref="C8:N1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T29"/>
  <sheetViews>
    <sheetView workbookViewId="0">
      <selection activeCell="A3" sqref="A3:T3"/>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693" t="str">
        <f>Index!B2</f>
        <v xml:space="preserve">      Maharashtra State Power Generation Company Ltd.</v>
      </c>
      <c r="H2" s="22"/>
      <c r="I2" s="22"/>
      <c r="J2" s="22"/>
      <c r="K2" s="22"/>
      <c r="L2" s="22"/>
      <c r="M2" s="22"/>
      <c r="N2" s="22"/>
      <c r="O2" s="22"/>
      <c r="P2" s="22"/>
      <c r="Q2" s="22"/>
      <c r="R2" s="22"/>
    </row>
    <row r="3" spans="2:18" x14ac:dyDescent="0.3">
      <c r="B3" s="321"/>
      <c r="C3" s="321"/>
      <c r="D3" s="321"/>
      <c r="E3" s="321"/>
      <c r="F3" s="321"/>
      <c r="G3" s="697" t="s">
        <v>1035</v>
      </c>
      <c r="H3" s="321"/>
      <c r="I3" s="321"/>
      <c r="J3" s="321"/>
      <c r="K3" s="321"/>
      <c r="L3" s="321"/>
      <c r="M3" s="321"/>
      <c r="N3" s="321"/>
      <c r="O3" s="321"/>
      <c r="P3" s="321"/>
      <c r="Q3" s="321"/>
      <c r="R3" s="321"/>
    </row>
    <row r="4" spans="2:18" x14ac:dyDescent="0.3">
      <c r="B4" s="22"/>
      <c r="C4" s="22"/>
      <c r="D4" s="22"/>
      <c r="E4" s="22"/>
      <c r="F4" s="22"/>
      <c r="G4" s="790" t="s">
        <v>1113</v>
      </c>
      <c r="H4" s="22"/>
      <c r="I4" s="22"/>
      <c r="J4" s="22"/>
      <c r="K4" s="22"/>
      <c r="L4" s="22"/>
      <c r="M4" s="22"/>
      <c r="N4" s="22"/>
      <c r="O4" s="22"/>
      <c r="P4" s="22"/>
      <c r="Q4" s="22"/>
      <c r="R4" s="22"/>
    </row>
    <row r="6" spans="2:18" x14ac:dyDescent="0.3">
      <c r="B6" s="42" t="s">
        <v>1114</v>
      </c>
      <c r="C6" s="42"/>
      <c r="D6" s="42"/>
      <c r="E6" s="42"/>
      <c r="F6" s="42"/>
      <c r="G6" s="42"/>
      <c r="H6" s="42"/>
      <c r="I6" s="42"/>
      <c r="J6" s="42"/>
      <c r="K6" s="42"/>
      <c r="L6" s="42"/>
      <c r="M6" s="42"/>
      <c r="N6" s="42"/>
      <c r="O6" s="42"/>
      <c r="P6" s="42"/>
      <c r="Q6" s="42"/>
    </row>
    <row r="7" spans="2:18" x14ac:dyDescent="0.3">
      <c r="B7" s="42" t="s">
        <v>1115</v>
      </c>
      <c r="C7" s="42" t="s">
        <v>1041</v>
      </c>
      <c r="D7" s="42"/>
      <c r="E7" s="42"/>
      <c r="F7" s="42"/>
      <c r="G7" s="42"/>
      <c r="H7" s="42"/>
      <c r="I7" s="42"/>
      <c r="J7" s="42"/>
      <c r="K7" s="42"/>
      <c r="L7" s="42"/>
      <c r="M7" s="42"/>
      <c r="N7" s="42"/>
      <c r="O7" s="42"/>
      <c r="P7" s="42"/>
      <c r="Q7" s="42"/>
    </row>
    <row r="9" spans="2:18" ht="32.4" customHeight="1" x14ac:dyDescent="0.3">
      <c r="B9" s="215"/>
      <c r="C9" s="1753" t="s">
        <v>1116</v>
      </c>
      <c r="D9" s="1754"/>
      <c r="E9" s="1755"/>
      <c r="F9" s="1753" t="s">
        <v>1117</v>
      </c>
      <c r="G9" s="1754"/>
      <c r="H9" s="1755"/>
      <c r="I9" s="1753" t="s">
        <v>1118</v>
      </c>
      <c r="J9" s="1754"/>
      <c r="K9" s="1755"/>
      <c r="L9" s="1753" t="s">
        <v>1119</v>
      </c>
      <c r="M9" s="1754"/>
      <c r="N9" s="1755"/>
      <c r="O9" s="1753" t="s">
        <v>1120</v>
      </c>
      <c r="P9" s="1754"/>
      <c r="Q9" s="1755"/>
    </row>
    <row r="10" spans="2:18" ht="56" x14ac:dyDescent="0.3">
      <c r="B10" s="791"/>
      <c r="C10" s="695" t="s">
        <v>1121</v>
      </c>
      <c r="D10" s="695" t="s">
        <v>1122</v>
      </c>
      <c r="E10" s="695" t="s">
        <v>1123</v>
      </c>
      <c r="F10" s="695" t="s">
        <v>1086</v>
      </c>
      <c r="G10" s="695" t="s">
        <v>1122</v>
      </c>
      <c r="H10" s="695" t="s">
        <v>1123</v>
      </c>
      <c r="I10" s="695" t="s">
        <v>1086</v>
      </c>
      <c r="J10" s="695" t="s">
        <v>1122</v>
      </c>
      <c r="K10" s="695" t="s">
        <v>1123</v>
      </c>
      <c r="L10" s="695" t="s">
        <v>1086</v>
      </c>
      <c r="M10" s="695" t="s">
        <v>1122</v>
      </c>
      <c r="N10" s="695" t="s">
        <v>1123</v>
      </c>
      <c r="O10" s="695" t="s">
        <v>1086</v>
      </c>
      <c r="P10" s="695" t="s">
        <v>1122</v>
      </c>
      <c r="Q10" s="695" t="s">
        <v>1123</v>
      </c>
    </row>
    <row r="11" spans="2:18" x14ac:dyDescent="0.3">
      <c r="B11" s="792" t="s">
        <v>1124</v>
      </c>
      <c r="C11" s="1745" t="s">
        <v>1041</v>
      </c>
      <c r="D11" s="1746"/>
      <c r="E11" s="1746"/>
      <c r="F11" s="1746"/>
      <c r="G11" s="1746"/>
      <c r="H11" s="1746"/>
      <c r="I11" s="1746"/>
      <c r="J11" s="1746"/>
      <c r="K11" s="1746"/>
      <c r="L11" s="1746"/>
      <c r="M11" s="1746"/>
      <c r="N11" s="1746"/>
      <c r="O11" s="1746"/>
      <c r="P11" s="1746"/>
      <c r="Q11" s="1747"/>
      <c r="R11" s="793"/>
    </row>
    <row r="12" spans="2:18" x14ac:dyDescent="0.3">
      <c r="B12" s="9" t="s">
        <v>1067</v>
      </c>
      <c r="C12" s="1748"/>
      <c r="D12" s="1693"/>
      <c r="E12" s="1693"/>
      <c r="F12" s="1693"/>
      <c r="G12" s="1693"/>
      <c r="H12" s="1693"/>
      <c r="I12" s="1693"/>
      <c r="J12" s="1693"/>
      <c r="K12" s="1693"/>
      <c r="L12" s="1693"/>
      <c r="M12" s="1693"/>
      <c r="N12" s="1693"/>
      <c r="O12" s="1693"/>
      <c r="P12" s="1693"/>
      <c r="Q12" s="1749"/>
      <c r="R12" s="794"/>
    </row>
    <row r="13" spans="2:18" x14ac:dyDescent="0.3">
      <c r="B13" s="9" t="s">
        <v>1067</v>
      </c>
      <c r="C13" s="1748"/>
      <c r="D13" s="1693"/>
      <c r="E13" s="1693"/>
      <c r="F13" s="1693"/>
      <c r="G13" s="1693"/>
      <c r="H13" s="1693"/>
      <c r="I13" s="1693"/>
      <c r="J13" s="1693"/>
      <c r="K13" s="1693"/>
      <c r="L13" s="1693"/>
      <c r="M13" s="1693"/>
      <c r="N13" s="1693"/>
      <c r="O13" s="1693"/>
      <c r="P13" s="1693"/>
      <c r="Q13" s="1749"/>
    </row>
    <row r="14" spans="2:18" x14ac:dyDescent="0.3">
      <c r="B14" s="39" t="s">
        <v>1070</v>
      </c>
      <c r="C14" s="1748"/>
      <c r="D14" s="1693"/>
      <c r="E14" s="1693"/>
      <c r="F14" s="1693"/>
      <c r="G14" s="1693"/>
      <c r="H14" s="1693"/>
      <c r="I14" s="1693"/>
      <c r="J14" s="1693"/>
      <c r="K14" s="1693"/>
      <c r="L14" s="1693"/>
      <c r="M14" s="1693"/>
      <c r="N14" s="1693"/>
      <c r="O14" s="1693"/>
      <c r="P14" s="1693"/>
      <c r="Q14" s="1749"/>
      <c r="R14" s="487"/>
    </row>
    <row r="15" spans="2:18" x14ac:dyDescent="0.3">
      <c r="B15" s="9" t="s">
        <v>1125</v>
      </c>
      <c r="C15" s="1748"/>
      <c r="D15" s="1693"/>
      <c r="E15" s="1693"/>
      <c r="F15" s="1693"/>
      <c r="G15" s="1693"/>
      <c r="H15" s="1693"/>
      <c r="I15" s="1693"/>
      <c r="J15" s="1693"/>
      <c r="K15" s="1693"/>
      <c r="L15" s="1693"/>
      <c r="M15" s="1693"/>
      <c r="N15" s="1693"/>
      <c r="O15" s="1693"/>
      <c r="P15" s="1693"/>
      <c r="Q15" s="1749"/>
    </row>
    <row r="16" spans="2:18" x14ac:dyDescent="0.3">
      <c r="B16" s="795" t="s">
        <v>1126</v>
      </c>
      <c r="C16" s="1748"/>
      <c r="D16" s="1693"/>
      <c r="E16" s="1693"/>
      <c r="F16" s="1693"/>
      <c r="G16" s="1693"/>
      <c r="H16" s="1693"/>
      <c r="I16" s="1693"/>
      <c r="J16" s="1693"/>
      <c r="K16" s="1693"/>
      <c r="L16" s="1693"/>
      <c r="M16" s="1693"/>
      <c r="N16" s="1693"/>
      <c r="O16" s="1693"/>
      <c r="P16" s="1693"/>
      <c r="Q16" s="1749"/>
      <c r="R16" s="487"/>
    </row>
    <row r="17" spans="2:20" x14ac:dyDescent="0.3">
      <c r="B17" s="796" t="s">
        <v>1127</v>
      </c>
      <c r="C17" s="1748"/>
      <c r="D17" s="1693"/>
      <c r="E17" s="1693"/>
      <c r="F17" s="1693"/>
      <c r="G17" s="1693"/>
      <c r="H17" s="1693"/>
      <c r="I17" s="1693"/>
      <c r="J17" s="1693"/>
      <c r="K17" s="1693"/>
      <c r="L17" s="1693"/>
      <c r="M17" s="1693"/>
      <c r="N17" s="1693"/>
      <c r="O17" s="1693"/>
      <c r="P17" s="1693"/>
      <c r="Q17" s="1749"/>
      <c r="R17" s="797"/>
    </row>
    <row r="18" spans="2:20" x14ac:dyDescent="0.3">
      <c r="B18" s="795" t="s">
        <v>1128</v>
      </c>
      <c r="C18" s="1748"/>
      <c r="D18" s="1693"/>
      <c r="E18" s="1693"/>
      <c r="F18" s="1693"/>
      <c r="G18" s="1693"/>
      <c r="H18" s="1693"/>
      <c r="I18" s="1693"/>
      <c r="J18" s="1693"/>
      <c r="K18" s="1693"/>
      <c r="L18" s="1693"/>
      <c r="M18" s="1693"/>
      <c r="N18" s="1693"/>
      <c r="O18" s="1693"/>
      <c r="P18" s="1693"/>
      <c r="Q18" s="1749"/>
      <c r="R18" s="793"/>
      <c r="T18" s="793"/>
    </row>
    <row r="19" spans="2:20" x14ac:dyDescent="0.3">
      <c r="B19" s="39" t="s">
        <v>1129</v>
      </c>
      <c r="C19" s="1748"/>
      <c r="D19" s="1693"/>
      <c r="E19" s="1693"/>
      <c r="F19" s="1693"/>
      <c r="G19" s="1693"/>
      <c r="H19" s="1693"/>
      <c r="I19" s="1693"/>
      <c r="J19" s="1693"/>
      <c r="K19" s="1693"/>
      <c r="L19" s="1693"/>
      <c r="M19" s="1693"/>
      <c r="N19" s="1693"/>
      <c r="O19" s="1693"/>
      <c r="P19" s="1693"/>
      <c r="Q19" s="1749"/>
      <c r="R19" s="798"/>
      <c r="T19" s="793"/>
    </row>
    <row r="20" spans="2:20" s="42" customFormat="1" x14ac:dyDescent="0.3">
      <c r="B20" s="39" t="s">
        <v>1130</v>
      </c>
      <c r="C20" s="1748"/>
      <c r="D20" s="1693"/>
      <c r="E20" s="1693"/>
      <c r="F20" s="1693"/>
      <c r="G20" s="1693"/>
      <c r="H20" s="1693"/>
      <c r="I20" s="1693"/>
      <c r="J20" s="1693"/>
      <c r="K20" s="1693"/>
      <c r="L20" s="1693"/>
      <c r="M20" s="1693"/>
      <c r="N20" s="1693"/>
      <c r="O20" s="1693"/>
      <c r="P20" s="1693"/>
      <c r="Q20" s="1749"/>
      <c r="R20" s="799"/>
      <c r="S20" s="799"/>
    </row>
    <row r="21" spans="2:20" ht="60.75" customHeight="1" x14ac:dyDescent="0.3">
      <c r="B21" s="800" t="s">
        <v>1131</v>
      </c>
      <c r="C21" s="1750"/>
      <c r="D21" s="1751"/>
      <c r="E21" s="1751"/>
      <c r="F21" s="1751"/>
      <c r="G21" s="1751"/>
      <c r="H21" s="1751"/>
      <c r="I21" s="1751"/>
      <c r="J21" s="1751"/>
      <c r="K21" s="1751"/>
      <c r="L21" s="1751"/>
      <c r="M21" s="1751"/>
      <c r="N21" s="1751"/>
      <c r="O21" s="1751"/>
      <c r="P21" s="1751"/>
      <c r="Q21" s="1752"/>
      <c r="R21" s="487"/>
    </row>
    <row r="22" spans="2:20" x14ac:dyDescent="0.3">
      <c r="B22" s="801"/>
      <c r="C22" s="802"/>
      <c r="D22" s="133"/>
      <c r="E22" s="803"/>
      <c r="F22" s="804"/>
      <c r="G22" s="793"/>
      <c r="H22" s="805"/>
      <c r="I22" s="806"/>
      <c r="J22" s="487"/>
      <c r="K22" s="807"/>
      <c r="L22" s="807"/>
      <c r="M22" s="807"/>
      <c r="N22" s="807"/>
      <c r="O22" s="804"/>
      <c r="P22" s="793"/>
      <c r="Q22" s="807"/>
    </row>
    <row r="23" spans="2:20" x14ac:dyDescent="0.3">
      <c r="B23" s="1" t="s">
        <v>1132</v>
      </c>
      <c r="G23" s="793"/>
      <c r="H23" s="808"/>
      <c r="I23" s="808"/>
      <c r="J23" s="487"/>
      <c r="K23" s="808"/>
      <c r="L23" s="808"/>
      <c r="M23" s="808"/>
      <c r="N23" s="808"/>
      <c r="P23" s="793"/>
      <c r="Q23" s="808"/>
      <c r="R23" s="487"/>
    </row>
    <row r="24" spans="2:20" x14ac:dyDescent="0.3">
      <c r="H24" s="809"/>
      <c r="K24" s="809"/>
      <c r="L24" s="809"/>
      <c r="M24" s="809"/>
      <c r="N24" s="809"/>
      <c r="Q24" s="809"/>
    </row>
    <row r="25" spans="2:20" x14ac:dyDescent="0.3">
      <c r="C25" s="793"/>
      <c r="D25" s="793"/>
      <c r="E25" s="793"/>
      <c r="F25" s="793"/>
      <c r="G25" s="793"/>
      <c r="H25" s="793"/>
      <c r="I25" s="793"/>
      <c r="J25" s="793"/>
      <c r="K25" s="793"/>
      <c r="L25" s="793"/>
      <c r="M25" s="793"/>
      <c r="N25" s="793"/>
      <c r="O25" s="793"/>
      <c r="P25" s="793"/>
      <c r="Q25" s="793"/>
    </row>
    <row r="26" spans="2:20" x14ac:dyDescent="0.3">
      <c r="H26" s="793"/>
      <c r="K26" s="793"/>
      <c r="L26" s="793"/>
      <c r="M26" s="793"/>
      <c r="N26" s="793"/>
      <c r="Q26" s="793"/>
      <c r="S26" s="793"/>
    </row>
    <row r="27" spans="2:20" x14ac:dyDescent="0.3">
      <c r="C27" s="793"/>
      <c r="D27" s="793"/>
      <c r="F27" s="793"/>
      <c r="G27" s="793"/>
      <c r="H27" s="793"/>
      <c r="I27" s="793"/>
      <c r="J27" s="793"/>
      <c r="K27" s="793"/>
      <c r="L27" s="793"/>
      <c r="M27" s="793"/>
      <c r="N27" s="793"/>
      <c r="O27" s="793"/>
      <c r="P27" s="793"/>
      <c r="Q27" s="793"/>
    </row>
    <row r="29" spans="2:20" ht="29.4" customHeight="1" x14ac:dyDescent="0.3">
      <c r="C29" s="451"/>
      <c r="E29" s="793"/>
    </row>
  </sheetData>
  <mergeCells count="6">
    <mergeCell ref="C11:Q21"/>
    <mergeCell ref="C9:E9"/>
    <mergeCell ref="F9:H9"/>
    <mergeCell ref="I9:K9"/>
    <mergeCell ref="L9:N9"/>
    <mergeCell ref="O9:Q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L37"/>
  <sheetViews>
    <sheetView workbookViewId="0">
      <selection activeCell="A3" sqref="A3:T3"/>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12" x14ac:dyDescent="0.3">
      <c r="C1" s="786"/>
    </row>
    <row r="2" spans="2:12" x14ac:dyDescent="0.3">
      <c r="B2" s="1468" t="str">
        <f>Index!B2</f>
        <v xml:space="preserve">      Maharashtra State Power Generation Company Ltd.</v>
      </c>
      <c r="C2" s="1468"/>
      <c r="L2" s="1" t="str">
        <f>Index!B2</f>
        <v xml:space="preserve">      Maharashtra State Power Generation Company Ltd.</v>
      </c>
    </row>
    <row r="3" spans="2:12" ht="16.5" customHeight="1" x14ac:dyDescent="0.3">
      <c r="B3" s="1757" t="s">
        <v>1035</v>
      </c>
      <c r="C3" s="1757"/>
    </row>
    <row r="4" spans="2:12" ht="14" customHeight="1" x14ac:dyDescent="0.3">
      <c r="B4" s="1758" t="s">
        <v>1084</v>
      </c>
      <c r="C4" s="1758"/>
    </row>
    <row r="7" spans="2:12" x14ac:dyDescent="0.3">
      <c r="B7" s="694" t="s">
        <v>37</v>
      </c>
      <c r="C7" s="694" t="s">
        <v>1041</v>
      </c>
    </row>
    <row r="8" spans="2:12" x14ac:dyDescent="0.3">
      <c r="B8" s="787"/>
      <c r="C8" s="1759" t="s">
        <v>1041</v>
      </c>
    </row>
    <row r="9" spans="2:12" x14ac:dyDescent="0.3">
      <c r="B9" s="213" t="s">
        <v>1085</v>
      </c>
      <c r="C9" s="1760"/>
    </row>
    <row r="10" spans="2:12" x14ac:dyDescent="0.3">
      <c r="B10" s="9" t="s">
        <v>1086</v>
      </c>
      <c r="C10" s="1760"/>
    </row>
    <row r="11" spans="2:12" x14ac:dyDescent="0.3">
      <c r="B11" s="9" t="s">
        <v>1087</v>
      </c>
      <c r="C11" s="1760"/>
    </row>
    <row r="12" spans="2:12" x14ac:dyDescent="0.3">
      <c r="B12" s="788" t="s">
        <v>1088</v>
      </c>
      <c r="C12" s="1760"/>
    </row>
    <row r="13" spans="2:12" x14ac:dyDescent="0.3">
      <c r="B13" s="9" t="s">
        <v>1089</v>
      </c>
      <c r="C13" s="1760"/>
    </row>
    <row r="14" spans="2:12" x14ac:dyDescent="0.3">
      <c r="B14" s="170" t="s">
        <v>1090</v>
      </c>
      <c r="C14" s="1760"/>
    </row>
    <row r="15" spans="2:12" x14ac:dyDescent="0.3">
      <c r="B15" s="9" t="s">
        <v>1091</v>
      </c>
      <c r="C15" s="1760"/>
    </row>
    <row r="16" spans="2:12" x14ac:dyDescent="0.3">
      <c r="B16" s="9" t="s">
        <v>1092</v>
      </c>
      <c r="C16" s="1760"/>
    </row>
    <row r="17" spans="2:3" x14ac:dyDescent="0.3">
      <c r="B17" s="9" t="s">
        <v>1093</v>
      </c>
      <c r="C17" s="1760"/>
    </row>
    <row r="18" spans="2:3" x14ac:dyDescent="0.3">
      <c r="B18" s="9" t="s">
        <v>1094</v>
      </c>
      <c r="C18" s="1760"/>
    </row>
    <row r="19" spans="2:3" x14ac:dyDescent="0.3">
      <c r="B19" s="9" t="s">
        <v>1095</v>
      </c>
      <c r="C19" s="1760"/>
    </row>
    <row r="20" spans="2:3" x14ac:dyDescent="0.3">
      <c r="B20" s="9" t="s">
        <v>1096</v>
      </c>
      <c r="C20" s="1760"/>
    </row>
    <row r="21" spans="2:3" x14ac:dyDescent="0.3">
      <c r="B21" s="9" t="s">
        <v>1097</v>
      </c>
      <c r="C21" s="1760"/>
    </row>
    <row r="22" spans="2:3" x14ac:dyDescent="0.3">
      <c r="B22" s="9" t="s">
        <v>1098</v>
      </c>
      <c r="C22" s="1760"/>
    </row>
    <row r="23" spans="2:3" x14ac:dyDescent="0.3">
      <c r="B23" s="9" t="s">
        <v>1099</v>
      </c>
      <c r="C23" s="1760"/>
    </row>
    <row r="24" spans="2:3" x14ac:dyDescent="0.3">
      <c r="B24" s="9" t="s">
        <v>1100</v>
      </c>
      <c r="C24" s="1760"/>
    </row>
    <row r="25" spans="2:3" x14ac:dyDescent="0.3">
      <c r="B25" s="9" t="s">
        <v>1101</v>
      </c>
      <c r="C25" s="1761"/>
    </row>
    <row r="27" spans="2:3" x14ac:dyDescent="0.3">
      <c r="B27" s="1756" t="s">
        <v>1102</v>
      </c>
      <c r="C27" s="1756"/>
    </row>
    <row r="28" spans="2:3" x14ac:dyDescent="0.3">
      <c r="B28" s="1756" t="s">
        <v>1103</v>
      </c>
      <c r="C28" s="1756"/>
    </row>
    <row r="29" spans="2:3" ht="29.4" customHeight="1" x14ac:dyDescent="0.3">
      <c r="B29" s="789" t="s">
        <v>1104</v>
      </c>
      <c r="C29" s="451"/>
    </row>
    <row r="30" spans="2:3" x14ac:dyDescent="0.3">
      <c r="B30" s="1756" t="s">
        <v>1105</v>
      </c>
      <c r="C30" s="1756"/>
    </row>
    <row r="31" spans="2:3" x14ac:dyDescent="0.3">
      <c r="B31" s="1756" t="s">
        <v>1106</v>
      </c>
      <c r="C31" s="1756"/>
    </row>
    <row r="32" spans="2:3" x14ac:dyDescent="0.3">
      <c r="B32" s="1756" t="s">
        <v>1107</v>
      </c>
      <c r="C32" s="1756"/>
    </row>
    <row r="33" spans="2:3" x14ac:dyDescent="0.3">
      <c r="B33" s="1756" t="s">
        <v>1108</v>
      </c>
      <c r="C33" s="1756"/>
    </row>
    <row r="34" spans="2:3" x14ac:dyDescent="0.3">
      <c r="B34" s="1756" t="s">
        <v>1109</v>
      </c>
      <c r="C34" s="1756"/>
    </row>
    <row r="35" spans="2:3" x14ac:dyDescent="0.3">
      <c r="B35" s="1756" t="s">
        <v>1110</v>
      </c>
      <c r="C35" s="1756"/>
    </row>
    <row r="36" spans="2:3" x14ac:dyDescent="0.3">
      <c r="B36" s="1756" t="s">
        <v>1111</v>
      </c>
      <c r="C36" s="1756"/>
    </row>
    <row r="37" spans="2:3" x14ac:dyDescent="0.3">
      <c r="B37" s="1756" t="s">
        <v>1112</v>
      </c>
      <c r="C37" s="1756"/>
    </row>
  </sheetData>
  <mergeCells count="14">
    <mergeCell ref="B36:C36"/>
    <mergeCell ref="B37:C37"/>
    <mergeCell ref="B30:C30"/>
    <mergeCell ref="B31:C31"/>
    <mergeCell ref="B32:C32"/>
    <mergeCell ref="B33:C33"/>
    <mergeCell ref="B34:C34"/>
    <mergeCell ref="B35:C35"/>
    <mergeCell ref="B28:C28"/>
    <mergeCell ref="B2:C2"/>
    <mergeCell ref="B3:C3"/>
    <mergeCell ref="B4:C4"/>
    <mergeCell ref="C8:C25"/>
    <mergeCell ref="B27:C2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N29"/>
  <sheetViews>
    <sheetView workbookViewId="0">
      <selection activeCell="A3" sqref="A3:T3"/>
    </sheetView>
  </sheetViews>
  <sheetFormatPr defaultColWidth="9.08984375" defaultRowHeight="14" x14ac:dyDescent="0.3"/>
  <cols>
    <col min="1" max="1" width="9.08984375" style="771"/>
    <col min="2" max="2" width="4.6328125" style="771" customWidth="1"/>
    <col min="3" max="3" width="17.453125" style="771" customWidth="1"/>
    <col min="4" max="4" width="18.08984375" style="771" customWidth="1"/>
    <col min="5" max="5" width="20.36328125" style="783" customWidth="1"/>
    <col min="6" max="6" width="16.08984375" style="784" customWidth="1"/>
    <col min="7" max="7" width="19.6328125" style="783" customWidth="1"/>
    <col min="8" max="10" width="20" style="784" customWidth="1"/>
    <col min="11" max="11" width="20.6328125" style="783" customWidth="1"/>
    <col min="12" max="12" width="14.36328125" style="784" customWidth="1"/>
    <col min="13" max="13" width="19.6328125" style="771" customWidth="1"/>
    <col min="14" max="14" width="20.453125" style="771" customWidth="1"/>
    <col min="15" max="259" width="9.08984375" style="771"/>
    <col min="260" max="260" width="4.6328125" style="771" customWidth="1"/>
    <col min="261" max="261" width="11.08984375" style="771" customWidth="1"/>
    <col min="262" max="262" width="23.453125" style="771" customWidth="1"/>
    <col min="263" max="263" width="16.6328125" style="771" customWidth="1"/>
    <col min="264" max="264" width="16.08984375" style="771" customWidth="1"/>
    <col min="265" max="265" width="15.08984375" style="771" customWidth="1"/>
    <col min="266" max="266" width="20" style="771" customWidth="1"/>
    <col min="267" max="267" width="16.6328125" style="771" customWidth="1"/>
    <col min="268" max="268" width="12.08984375" style="771" customWidth="1"/>
    <col min="269" max="515" width="9.08984375" style="771"/>
    <col min="516" max="516" width="4.6328125" style="771" customWidth="1"/>
    <col min="517" max="517" width="11.08984375" style="771" customWidth="1"/>
    <col min="518" max="518" width="23.453125" style="771" customWidth="1"/>
    <col min="519" max="519" width="16.6328125" style="771" customWidth="1"/>
    <col min="520" max="520" width="16.08984375" style="771" customWidth="1"/>
    <col min="521" max="521" width="15.08984375" style="771" customWidth="1"/>
    <col min="522" max="522" width="20" style="771" customWidth="1"/>
    <col min="523" max="523" width="16.6328125" style="771" customWidth="1"/>
    <col min="524" max="524" width="12.08984375" style="771" customWidth="1"/>
    <col min="525" max="771" width="9.08984375" style="771"/>
    <col min="772" max="772" width="4.6328125" style="771" customWidth="1"/>
    <col min="773" max="773" width="11.08984375" style="771" customWidth="1"/>
    <col min="774" max="774" width="23.453125" style="771" customWidth="1"/>
    <col min="775" max="775" width="16.6328125" style="771" customWidth="1"/>
    <col min="776" max="776" width="16.08984375" style="771" customWidth="1"/>
    <col min="777" max="777" width="15.08984375" style="771" customWidth="1"/>
    <col min="778" max="778" width="20" style="771" customWidth="1"/>
    <col min="779" max="779" width="16.6328125" style="771" customWidth="1"/>
    <col min="780" max="780" width="12.08984375" style="771" customWidth="1"/>
    <col min="781" max="1027" width="9.08984375" style="771"/>
    <col min="1028" max="1028" width="4.6328125" style="771" customWidth="1"/>
    <col min="1029" max="1029" width="11.08984375" style="771" customWidth="1"/>
    <col min="1030" max="1030" width="23.453125" style="771" customWidth="1"/>
    <col min="1031" max="1031" width="16.6328125" style="771" customWidth="1"/>
    <col min="1032" max="1032" width="16.08984375" style="771" customWidth="1"/>
    <col min="1033" max="1033" width="15.08984375" style="771" customWidth="1"/>
    <col min="1034" max="1034" width="20" style="771" customWidth="1"/>
    <col min="1035" max="1035" width="16.6328125" style="771" customWidth="1"/>
    <col min="1036" max="1036" width="12.08984375" style="771" customWidth="1"/>
    <col min="1037" max="1283" width="9.08984375" style="771"/>
    <col min="1284" max="1284" width="4.6328125" style="771" customWidth="1"/>
    <col min="1285" max="1285" width="11.08984375" style="771" customWidth="1"/>
    <col min="1286" max="1286" width="23.453125" style="771" customWidth="1"/>
    <col min="1287" max="1287" width="16.6328125" style="771" customWidth="1"/>
    <col min="1288" max="1288" width="16.08984375" style="771" customWidth="1"/>
    <col min="1289" max="1289" width="15.08984375" style="771" customWidth="1"/>
    <col min="1290" max="1290" width="20" style="771" customWidth="1"/>
    <col min="1291" max="1291" width="16.6328125" style="771" customWidth="1"/>
    <col min="1292" max="1292" width="12.08984375" style="771" customWidth="1"/>
    <col min="1293" max="1539" width="9.08984375" style="771"/>
    <col min="1540" max="1540" width="4.6328125" style="771" customWidth="1"/>
    <col min="1541" max="1541" width="11.08984375" style="771" customWidth="1"/>
    <col min="1542" max="1542" width="23.453125" style="771" customWidth="1"/>
    <col min="1543" max="1543" width="16.6328125" style="771" customWidth="1"/>
    <col min="1544" max="1544" width="16.08984375" style="771" customWidth="1"/>
    <col min="1545" max="1545" width="15.08984375" style="771" customWidth="1"/>
    <col min="1546" max="1546" width="20" style="771" customWidth="1"/>
    <col min="1547" max="1547" width="16.6328125" style="771" customWidth="1"/>
    <col min="1548" max="1548" width="12.08984375" style="771" customWidth="1"/>
    <col min="1549" max="1795" width="9.08984375" style="771"/>
    <col min="1796" max="1796" width="4.6328125" style="771" customWidth="1"/>
    <col min="1797" max="1797" width="11.08984375" style="771" customWidth="1"/>
    <col min="1798" max="1798" width="23.453125" style="771" customWidth="1"/>
    <col min="1799" max="1799" width="16.6328125" style="771" customWidth="1"/>
    <col min="1800" max="1800" width="16.08984375" style="771" customWidth="1"/>
    <col min="1801" max="1801" width="15.08984375" style="771" customWidth="1"/>
    <col min="1802" max="1802" width="20" style="771" customWidth="1"/>
    <col min="1803" max="1803" width="16.6328125" style="771" customWidth="1"/>
    <col min="1804" max="1804" width="12.08984375" style="771" customWidth="1"/>
    <col min="1805" max="2051" width="9.08984375" style="771"/>
    <col min="2052" max="2052" width="4.6328125" style="771" customWidth="1"/>
    <col min="2053" max="2053" width="11.08984375" style="771" customWidth="1"/>
    <col min="2054" max="2054" width="23.453125" style="771" customWidth="1"/>
    <col min="2055" max="2055" width="16.6328125" style="771" customWidth="1"/>
    <col min="2056" max="2056" width="16.08984375" style="771" customWidth="1"/>
    <col min="2057" max="2057" width="15.08984375" style="771" customWidth="1"/>
    <col min="2058" max="2058" width="20" style="771" customWidth="1"/>
    <col min="2059" max="2059" width="16.6328125" style="771" customWidth="1"/>
    <col min="2060" max="2060" width="12.08984375" style="771" customWidth="1"/>
    <col min="2061" max="2307" width="9.08984375" style="771"/>
    <col min="2308" max="2308" width="4.6328125" style="771" customWidth="1"/>
    <col min="2309" max="2309" width="11.08984375" style="771" customWidth="1"/>
    <col min="2310" max="2310" width="23.453125" style="771" customWidth="1"/>
    <col min="2311" max="2311" width="16.6328125" style="771" customWidth="1"/>
    <col min="2312" max="2312" width="16.08984375" style="771" customWidth="1"/>
    <col min="2313" max="2313" width="15.08984375" style="771" customWidth="1"/>
    <col min="2314" max="2314" width="20" style="771" customWidth="1"/>
    <col min="2315" max="2315" width="16.6328125" style="771" customWidth="1"/>
    <col min="2316" max="2316" width="12.08984375" style="771" customWidth="1"/>
    <col min="2317" max="2563" width="9.08984375" style="771"/>
    <col min="2564" max="2564" width="4.6328125" style="771" customWidth="1"/>
    <col min="2565" max="2565" width="11.08984375" style="771" customWidth="1"/>
    <col min="2566" max="2566" width="23.453125" style="771" customWidth="1"/>
    <col min="2567" max="2567" width="16.6328125" style="771" customWidth="1"/>
    <col min="2568" max="2568" width="16.08984375" style="771" customWidth="1"/>
    <col min="2569" max="2569" width="15.08984375" style="771" customWidth="1"/>
    <col min="2570" max="2570" width="20" style="771" customWidth="1"/>
    <col min="2571" max="2571" width="16.6328125" style="771" customWidth="1"/>
    <col min="2572" max="2572" width="12.08984375" style="771" customWidth="1"/>
    <col min="2573" max="2819" width="9.08984375" style="771"/>
    <col min="2820" max="2820" width="4.6328125" style="771" customWidth="1"/>
    <col min="2821" max="2821" width="11.08984375" style="771" customWidth="1"/>
    <col min="2822" max="2822" width="23.453125" style="771" customWidth="1"/>
    <col min="2823" max="2823" width="16.6328125" style="771" customWidth="1"/>
    <col min="2824" max="2824" width="16.08984375" style="771" customWidth="1"/>
    <col min="2825" max="2825" width="15.08984375" style="771" customWidth="1"/>
    <col min="2826" max="2826" width="20" style="771" customWidth="1"/>
    <col min="2827" max="2827" width="16.6328125" style="771" customWidth="1"/>
    <col min="2828" max="2828" width="12.08984375" style="771" customWidth="1"/>
    <col min="2829" max="3075" width="9.08984375" style="771"/>
    <col min="3076" max="3076" width="4.6328125" style="771" customWidth="1"/>
    <col min="3077" max="3077" width="11.08984375" style="771" customWidth="1"/>
    <col min="3078" max="3078" width="23.453125" style="771" customWidth="1"/>
    <col min="3079" max="3079" width="16.6328125" style="771" customWidth="1"/>
    <col min="3080" max="3080" width="16.08984375" style="771" customWidth="1"/>
    <col min="3081" max="3081" width="15.08984375" style="771" customWidth="1"/>
    <col min="3082" max="3082" width="20" style="771" customWidth="1"/>
    <col min="3083" max="3083" width="16.6328125" style="771" customWidth="1"/>
    <col min="3084" max="3084" width="12.08984375" style="771" customWidth="1"/>
    <col min="3085" max="3331" width="9.08984375" style="771"/>
    <col min="3332" max="3332" width="4.6328125" style="771" customWidth="1"/>
    <col min="3333" max="3333" width="11.08984375" style="771" customWidth="1"/>
    <col min="3334" max="3334" width="23.453125" style="771" customWidth="1"/>
    <col min="3335" max="3335" width="16.6328125" style="771" customWidth="1"/>
    <col min="3336" max="3336" width="16.08984375" style="771" customWidth="1"/>
    <col min="3337" max="3337" width="15.08984375" style="771" customWidth="1"/>
    <col min="3338" max="3338" width="20" style="771" customWidth="1"/>
    <col min="3339" max="3339" width="16.6328125" style="771" customWidth="1"/>
    <col min="3340" max="3340" width="12.08984375" style="771" customWidth="1"/>
    <col min="3341" max="3587" width="9.08984375" style="771"/>
    <col min="3588" max="3588" width="4.6328125" style="771" customWidth="1"/>
    <col min="3589" max="3589" width="11.08984375" style="771" customWidth="1"/>
    <col min="3590" max="3590" width="23.453125" style="771" customWidth="1"/>
    <col min="3591" max="3591" width="16.6328125" style="771" customWidth="1"/>
    <col min="3592" max="3592" width="16.08984375" style="771" customWidth="1"/>
    <col min="3593" max="3593" width="15.08984375" style="771" customWidth="1"/>
    <col min="3594" max="3594" width="20" style="771" customWidth="1"/>
    <col min="3595" max="3595" width="16.6328125" style="771" customWidth="1"/>
    <col min="3596" max="3596" width="12.08984375" style="771" customWidth="1"/>
    <col min="3597" max="3843" width="9.08984375" style="771"/>
    <col min="3844" max="3844" width="4.6328125" style="771" customWidth="1"/>
    <col min="3845" max="3845" width="11.08984375" style="771" customWidth="1"/>
    <col min="3846" max="3846" width="23.453125" style="771" customWidth="1"/>
    <col min="3847" max="3847" width="16.6328125" style="771" customWidth="1"/>
    <col min="3848" max="3848" width="16.08984375" style="771" customWidth="1"/>
    <col min="3849" max="3849" width="15.08984375" style="771" customWidth="1"/>
    <col min="3850" max="3850" width="20" style="771" customWidth="1"/>
    <col min="3851" max="3851" width="16.6328125" style="771" customWidth="1"/>
    <col min="3852" max="3852" width="12.08984375" style="771" customWidth="1"/>
    <col min="3853" max="4099" width="9.08984375" style="771"/>
    <col min="4100" max="4100" width="4.6328125" style="771" customWidth="1"/>
    <col min="4101" max="4101" width="11.08984375" style="771" customWidth="1"/>
    <col min="4102" max="4102" width="23.453125" style="771" customWidth="1"/>
    <col min="4103" max="4103" width="16.6328125" style="771" customWidth="1"/>
    <col min="4104" max="4104" width="16.08984375" style="771" customWidth="1"/>
    <col min="4105" max="4105" width="15.08984375" style="771" customWidth="1"/>
    <col min="4106" max="4106" width="20" style="771" customWidth="1"/>
    <col min="4107" max="4107" width="16.6328125" style="771" customWidth="1"/>
    <col min="4108" max="4108" width="12.08984375" style="771" customWidth="1"/>
    <col min="4109" max="4355" width="9.08984375" style="771"/>
    <col min="4356" max="4356" width="4.6328125" style="771" customWidth="1"/>
    <col min="4357" max="4357" width="11.08984375" style="771" customWidth="1"/>
    <col min="4358" max="4358" width="23.453125" style="771" customWidth="1"/>
    <col min="4359" max="4359" width="16.6328125" style="771" customWidth="1"/>
    <col min="4360" max="4360" width="16.08984375" style="771" customWidth="1"/>
    <col min="4361" max="4361" width="15.08984375" style="771" customWidth="1"/>
    <col min="4362" max="4362" width="20" style="771" customWidth="1"/>
    <col min="4363" max="4363" width="16.6328125" style="771" customWidth="1"/>
    <col min="4364" max="4364" width="12.08984375" style="771" customWidth="1"/>
    <col min="4365" max="4611" width="9.08984375" style="771"/>
    <col min="4612" max="4612" width="4.6328125" style="771" customWidth="1"/>
    <col min="4613" max="4613" width="11.08984375" style="771" customWidth="1"/>
    <col min="4614" max="4614" width="23.453125" style="771" customWidth="1"/>
    <col min="4615" max="4615" width="16.6328125" style="771" customWidth="1"/>
    <col min="4616" max="4616" width="16.08984375" style="771" customWidth="1"/>
    <col min="4617" max="4617" width="15.08984375" style="771" customWidth="1"/>
    <col min="4618" max="4618" width="20" style="771" customWidth="1"/>
    <col min="4619" max="4619" width="16.6328125" style="771" customWidth="1"/>
    <col min="4620" max="4620" width="12.08984375" style="771" customWidth="1"/>
    <col min="4621" max="4867" width="9.08984375" style="771"/>
    <col min="4868" max="4868" width="4.6328125" style="771" customWidth="1"/>
    <col min="4869" max="4869" width="11.08984375" style="771" customWidth="1"/>
    <col min="4870" max="4870" width="23.453125" style="771" customWidth="1"/>
    <col min="4871" max="4871" width="16.6328125" style="771" customWidth="1"/>
    <col min="4872" max="4872" width="16.08984375" style="771" customWidth="1"/>
    <col min="4873" max="4873" width="15.08984375" style="771" customWidth="1"/>
    <col min="4874" max="4874" width="20" style="771" customWidth="1"/>
    <col min="4875" max="4875" width="16.6328125" style="771" customWidth="1"/>
    <col min="4876" max="4876" width="12.08984375" style="771" customWidth="1"/>
    <col min="4877" max="5123" width="9.08984375" style="771"/>
    <col min="5124" max="5124" width="4.6328125" style="771" customWidth="1"/>
    <col min="5125" max="5125" width="11.08984375" style="771" customWidth="1"/>
    <col min="5126" max="5126" width="23.453125" style="771" customWidth="1"/>
    <col min="5127" max="5127" width="16.6328125" style="771" customWidth="1"/>
    <col min="5128" max="5128" width="16.08984375" style="771" customWidth="1"/>
    <col min="5129" max="5129" width="15.08984375" style="771" customWidth="1"/>
    <col min="5130" max="5130" width="20" style="771" customWidth="1"/>
    <col min="5131" max="5131" width="16.6328125" style="771" customWidth="1"/>
    <col min="5132" max="5132" width="12.08984375" style="771" customWidth="1"/>
    <col min="5133" max="5379" width="9.08984375" style="771"/>
    <col min="5380" max="5380" width="4.6328125" style="771" customWidth="1"/>
    <col min="5381" max="5381" width="11.08984375" style="771" customWidth="1"/>
    <col min="5382" max="5382" width="23.453125" style="771" customWidth="1"/>
    <col min="5383" max="5383" width="16.6328125" style="771" customWidth="1"/>
    <col min="5384" max="5384" width="16.08984375" style="771" customWidth="1"/>
    <col min="5385" max="5385" width="15.08984375" style="771" customWidth="1"/>
    <col min="5386" max="5386" width="20" style="771" customWidth="1"/>
    <col min="5387" max="5387" width="16.6328125" style="771" customWidth="1"/>
    <col min="5388" max="5388" width="12.08984375" style="771" customWidth="1"/>
    <col min="5389" max="5635" width="9.08984375" style="771"/>
    <col min="5636" max="5636" width="4.6328125" style="771" customWidth="1"/>
    <col min="5637" max="5637" width="11.08984375" style="771" customWidth="1"/>
    <col min="5638" max="5638" width="23.453125" style="771" customWidth="1"/>
    <col min="5639" max="5639" width="16.6328125" style="771" customWidth="1"/>
    <col min="5640" max="5640" width="16.08984375" style="771" customWidth="1"/>
    <col min="5641" max="5641" width="15.08984375" style="771" customWidth="1"/>
    <col min="5642" max="5642" width="20" style="771" customWidth="1"/>
    <col min="5643" max="5643" width="16.6328125" style="771" customWidth="1"/>
    <col min="5644" max="5644" width="12.08984375" style="771" customWidth="1"/>
    <col min="5645" max="5891" width="9.08984375" style="771"/>
    <col min="5892" max="5892" width="4.6328125" style="771" customWidth="1"/>
    <col min="5893" max="5893" width="11.08984375" style="771" customWidth="1"/>
    <col min="5894" max="5894" width="23.453125" style="771" customWidth="1"/>
    <col min="5895" max="5895" width="16.6328125" style="771" customWidth="1"/>
    <col min="5896" max="5896" width="16.08984375" style="771" customWidth="1"/>
    <col min="5897" max="5897" width="15.08984375" style="771" customWidth="1"/>
    <col min="5898" max="5898" width="20" style="771" customWidth="1"/>
    <col min="5899" max="5899" width="16.6328125" style="771" customWidth="1"/>
    <col min="5900" max="5900" width="12.08984375" style="771" customWidth="1"/>
    <col min="5901" max="6147" width="9.08984375" style="771"/>
    <col min="6148" max="6148" width="4.6328125" style="771" customWidth="1"/>
    <col min="6149" max="6149" width="11.08984375" style="771" customWidth="1"/>
    <col min="6150" max="6150" width="23.453125" style="771" customWidth="1"/>
    <col min="6151" max="6151" width="16.6328125" style="771" customWidth="1"/>
    <col min="6152" max="6152" width="16.08984375" style="771" customWidth="1"/>
    <col min="6153" max="6153" width="15.08984375" style="771" customWidth="1"/>
    <col min="6154" max="6154" width="20" style="771" customWidth="1"/>
    <col min="6155" max="6155" width="16.6328125" style="771" customWidth="1"/>
    <col min="6156" max="6156" width="12.08984375" style="771" customWidth="1"/>
    <col min="6157" max="6403" width="9.08984375" style="771"/>
    <col min="6404" max="6404" width="4.6328125" style="771" customWidth="1"/>
    <col min="6405" max="6405" width="11.08984375" style="771" customWidth="1"/>
    <col min="6406" max="6406" width="23.453125" style="771" customWidth="1"/>
    <col min="6407" max="6407" width="16.6328125" style="771" customWidth="1"/>
    <col min="6408" max="6408" width="16.08984375" style="771" customWidth="1"/>
    <col min="6409" max="6409" width="15.08984375" style="771" customWidth="1"/>
    <col min="6410" max="6410" width="20" style="771" customWidth="1"/>
    <col min="6411" max="6411" width="16.6328125" style="771" customWidth="1"/>
    <col min="6412" max="6412" width="12.08984375" style="771" customWidth="1"/>
    <col min="6413" max="6659" width="9.08984375" style="771"/>
    <col min="6660" max="6660" width="4.6328125" style="771" customWidth="1"/>
    <col min="6661" max="6661" width="11.08984375" style="771" customWidth="1"/>
    <col min="6662" max="6662" width="23.453125" style="771" customWidth="1"/>
    <col min="6663" max="6663" width="16.6328125" style="771" customWidth="1"/>
    <col min="6664" max="6664" width="16.08984375" style="771" customWidth="1"/>
    <col min="6665" max="6665" width="15.08984375" style="771" customWidth="1"/>
    <col min="6666" max="6666" width="20" style="771" customWidth="1"/>
    <col min="6667" max="6667" width="16.6328125" style="771" customWidth="1"/>
    <col min="6668" max="6668" width="12.08984375" style="771" customWidth="1"/>
    <col min="6669" max="6915" width="9.08984375" style="771"/>
    <col min="6916" max="6916" width="4.6328125" style="771" customWidth="1"/>
    <col min="6917" max="6917" width="11.08984375" style="771" customWidth="1"/>
    <col min="6918" max="6918" width="23.453125" style="771" customWidth="1"/>
    <col min="6919" max="6919" width="16.6328125" style="771" customWidth="1"/>
    <col min="6920" max="6920" width="16.08984375" style="771" customWidth="1"/>
    <col min="6921" max="6921" width="15.08984375" style="771" customWidth="1"/>
    <col min="6922" max="6922" width="20" style="771" customWidth="1"/>
    <col min="6923" max="6923" width="16.6328125" style="771" customWidth="1"/>
    <col min="6924" max="6924" width="12.08984375" style="771" customWidth="1"/>
    <col min="6925" max="7171" width="9.08984375" style="771"/>
    <col min="7172" max="7172" width="4.6328125" style="771" customWidth="1"/>
    <col min="7173" max="7173" width="11.08984375" style="771" customWidth="1"/>
    <col min="7174" max="7174" width="23.453125" style="771" customWidth="1"/>
    <col min="7175" max="7175" width="16.6328125" style="771" customWidth="1"/>
    <col min="7176" max="7176" width="16.08984375" style="771" customWidth="1"/>
    <col min="7177" max="7177" width="15.08984375" style="771" customWidth="1"/>
    <col min="7178" max="7178" width="20" style="771" customWidth="1"/>
    <col min="7179" max="7179" width="16.6328125" style="771" customWidth="1"/>
    <col min="7180" max="7180" width="12.08984375" style="771" customWidth="1"/>
    <col min="7181" max="7427" width="9.08984375" style="771"/>
    <col min="7428" max="7428" width="4.6328125" style="771" customWidth="1"/>
    <col min="7429" max="7429" width="11.08984375" style="771" customWidth="1"/>
    <col min="7430" max="7430" width="23.453125" style="771" customWidth="1"/>
    <col min="7431" max="7431" width="16.6328125" style="771" customWidth="1"/>
    <col min="7432" max="7432" width="16.08984375" style="771" customWidth="1"/>
    <col min="7433" max="7433" width="15.08984375" style="771" customWidth="1"/>
    <col min="7434" max="7434" width="20" style="771" customWidth="1"/>
    <col min="7435" max="7435" width="16.6328125" style="771" customWidth="1"/>
    <col min="7436" max="7436" width="12.08984375" style="771" customWidth="1"/>
    <col min="7437" max="7683" width="9.08984375" style="771"/>
    <col min="7684" max="7684" width="4.6328125" style="771" customWidth="1"/>
    <col min="7685" max="7685" width="11.08984375" style="771" customWidth="1"/>
    <col min="7686" max="7686" width="23.453125" style="771" customWidth="1"/>
    <col min="7687" max="7687" width="16.6328125" style="771" customWidth="1"/>
    <col min="7688" max="7688" width="16.08984375" style="771" customWidth="1"/>
    <col min="7689" max="7689" width="15.08984375" style="771" customWidth="1"/>
    <col min="7690" max="7690" width="20" style="771" customWidth="1"/>
    <col min="7691" max="7691" width="16.6328125" style="771" customWidth="1"/>
    <col min="7692" max="7692" width="12.08984375" style="771" customWidth="1"/>
    <col min="7693" max="7939" width="9.08984375" style="771"/>
    <col min="7940" max="7940" width="4.6328125" style="771" customWidth="1"/>
    <col min="7941" max="7941" width="11.08984375" style="771" customWidth="1"/>
    <col min="7942" max="7942" width="23.453125" style="771" customWidth="1"/>
    <col min="7943" max="7943" width="16.6328125" style="771" customWidth="1"/>
    <col min="7944" max="7944" width="16.08984375" style="771" customWidth="1"/>
    <col min="7945" max="7945" width="15.08984375" style="771" customWidth="1"/>
    <col min="7946" max="7946" width="20" style="771" customWidth="1"/>
    <col min="7947" max="7947" width="16.6328125" style="771" customWidth="1"/>
    <col min="7948" max="7948" width="12.08984375" style="771" customWidth="1"/>
    <col min="7949" max="8195" width="9.08984375" style="771"/>
    <col min="8196" max="8196" width="4.6328125" style="771" customWidth="1"/>
    <col min="8197" max="8197" width="11.08984375" style="771" customWidth="1"/>
    <col min="8198" max="8198" width="23.453125" style="771" customWidth="1"/>
    <col min="8199" max="8199" width="16.6328125" style="771" customWidth="1"/>
    <col min="8200" max="8200" width="16.08984375" style="771" customWidth="1"/>
    <col min="8201" max="8201" width="15.08984375" style="771" customWidth="1"/>
    <col min="8202" max="8202" width="20" style="771" customWidth="1"/>
    <col min="8203" max="8203" width="16.6328125" style="771" customWidth="1"/>
    <col min="8204" max="8204" width="12.08984375" style="771" customWidth="1"/>
    <col min="8205" max="8451" width="9.08984375" style="771"/>
    <col min="8452" max="8452" width="4.6328125" style="771" customWidth="1"/>
    <col min="8453" max="8453" width="11.08984375" style="771" customWidth="1"/>
    <col min="8454" max="8454" width="23.453125" style="771" customWidth="1"/>
    <col min="8455" max="8455" width="16.6328125" style="771" customWidth="1"/>
    <col min="8456" max="8456" width="16.08984375" style="771" customWidth="1"/>
    <col min="8457" max="8457" width="15.08984375" style="771" customWidth="1"/>
    <col min="8458" max="8458" width="20" style="771" customWidth="1"/>
    <col min="8459" max="8459" width="16.6328125" style="771" customWidth="1"/>
    <col min="8460" max="8460" width="12.08984375" style="771" customWidth="1"/>
    <col min="8461" max="8707" width="9.08984375" style="771"/>
    <col min="8708" max="8708" width="4.6328125" style="771" customWidth="1"/>
    <col min="8709" max="8709" width="11.08984375" style="771" customWidth="1"/>
    <col min="8710" max="8710" width="23.453125" style="771" customWidth="1"/>
    <col min="8711" max="8711" width="16.6328125" style="771" customWidth="1"/>
    <col min="8712" max="8712" width="16.08984375" style="771" customWidth="1"/>
    <col min="8713" max="8713" width="15.08984375" style="771" customWidth="1"/>
    <col min="8714" max="8714" width="20" style="771" customWidth="1"/>
    <col min="8715" max="8715" width="16.6328125" style="771" customWidth="1"/>
    <col min="8716" max="8716" width="12.08984375" style="771" customWidth="1"/>
    <col min="8717" max="8963" width="9.08984375" style="771"/>
    <col min="8964" max="8964" width="4.6328125" style="771" customWidth="1"/>
    <col min="8965" max="8965" width="11.08984375" style="771" customWidth="1"/>
    <col min="8966" max="8966" width="23.453125" style="771" customWidth="1"/>
    <col min="8967" max="8967" width="16.6328125" style="771" customWidth="1"/>
    <col min="8968" max="8968" width="16.08984375" style="771" customWidth="1"/>
    <col min="8969" max="8969" width="15.08984375" style="771" customWidth="1"/>
    <col min="8970" max="8970" width="20" style="771" customWidth="1"/>
    <col min="8971" max="8971" width="16.6328125" style="771" customWidth="1"/>
    <col min="8972" max="8972" width="12.08984375" style="771" customWidth="1"/>
    <col min="8973" max="9219" width="9.08984375" style="771"/>
    <col min="9220" max="9220" width="4.6328125" style="771" customWidth="1"/>
    <col min="9221" max="9221" width="11.08984375" style="771" customWidth="1"/>
    <col min="9222" max="9222" width="23.453125" style="771" customWidth="1"/>
    <col min="9223" max="9223" width="16.6328125" style="771" customWidth="1"/>
    <col min="9224" max="9224" width="16.08984375" style="771" customWidth="1"/>
    <col min="9225" max="9225" width="15.08984375" style="771" customWidth="1"/>
    <col min="9226" max="9226" width="20" style="771" customWidth="1"/>
    <col min="9227" max="9227" width="16.6328125" style="771" customWidth="1"/>
    <col min="9228" max="9228" width="12.08984375" style="771" customWidth="1"/>
    <col min="9229" max="9475" width="9.08984375" style="771"/>
    <col min="9476" max="9476" width="4.6328125" style="771" customWidth="1"/>
    <col min="9477" max="9477" width="11.08984375" style="771" customWidth="1"/>
    <col min="9478" max="9478" width="23.453125" style="771" customWidth="1"/>
    <col min="9479" max="9479" width="16.6328125" style="771" customWidth="1"/>
    <col min="9480" max="9480" width="16.08984375" style="771" customWidth="1"/>
    <col min="9481" max="9481" width="15.08984375" style="771" customWidth="1"/>
    <col min="9482" max="9482" width="20" style="771" customWidth="1"/>
    <col min="9483" max="9483" width="16.6328125" style="771" customWidth="1"/>
    <col min="9484" max="9484" width="12.08984375" style="771" customWidth="1"/>
    <col min="9485" max="9731" width="9.08984375" style="771"/>
    <col min="9732" max="9732" width="4.6328125" style="771" customWidth="1"/>
    <col min="9733" max="9733" width="11.08984375" style="771" customWidth="1"/>
    <col min="9734" max="9734" width="23.453125" style="771" customWidth="1"/>
    <col min="9735" max="9735" width="16.6328125" style="771" customWidth="1"/>
    <col min="9736" max="9736" width="16.08984375" style="771" customWidth="1"/>
    <col min="9737" max="9737" width="15.08984375" style="771" customWidth="1"/>
    <col min="9738" max="9738" width="20" style="771" customWidth="1"/>
    <col min="9739" max="9739" width="16.6328125" style="771" customWidth="1"/>
    <col min="9740" max="9740" width="12.08984375" style="771" customWidth="1"/>
    <col min="9741" max="9987" width="9.08984375" style="771"/>
    <col min="9988" max="9988" width="4.6328125" style="771" customWidth="1"/>
    <col min="9989" max="9989" width="11.08984375" style="771" customWidth="1"/>
    <col min="9990" max="9990" width="23.453125" style="771" customWidth="1"/>
    <col min="9991" max="9991" width="16.6328125" style="771" customWidth="1"/>
    <col min="9992" max="9992" width="16.08984375" style="771" customWidth="1"/>
    <col min="9993" max="9993" width="15.08984375" style="771" customWidth="1"/>
    <col min="9994" max="9994" width="20" style="771" customWidth="1"/>
    <col min="9995" max="9995" width="16.6328125" style="771" customWidth="1"/>
    <col min="9996" max="9996" width="12.08984375" style="771" customWidth="1"/>
    <col min="9997" max="10243" width="9.08984375" style="771"/>
    <col min="10244" max="10244" width="4.6328125" style="771" customWidth="1"/>
    <col min="10245" max="10245" width="11.08984375" style="771" customWidth="1"/>
    <col min="10246" max="10246" width="23.453125" style="771" customWidth="1"/>
    <col min="10247" max="10247" width="16.6328125" style="771" customWidth="1"/>
    <col min="10248" max="10248" width="16.08984375" style="771" customWidth="1"/>
    <col min="10249" max="10249" width="15.08984375" style="771" customWidth="1"/>
    <col min="10250" max="10250" width="20" style="771" customWidth="1"/>
    <col min="10251" max="10251" width="16.6328125" style="771" customWidth="1"/>
    <col min="10252" max="10252" width="12.08984375" style="771" customWidth="1"/>
    <col min="10253" max="10499" width="9.08984375" style="771"/>
    <col min="10500" max="10500" width="4.6328125" style="771" customWidth="1"/>
    <col min="10501" max="10501" width="11.08984375" style="771" customWidth="1"/>
    <col min="10502" max="10502" width="23.453125" style="771" customWidth="1"/>
    <col min="10503" max="10503" width="16.6328125" style="771" customWidth="1"/>
    <col min="10504" max="10504" width="16.08984375" style="771" customWidth="1"/>
    <col min="10505" max="10505" width="15.08984375" style="771" customWidth="1"/>
    <col min="10506" max="10506" width="20" style="771" customWidth="1"/>
    <col min="10507" max="10507" width="16.6328125" style="771" customWidth="1"/>
    <col min="10508" max="10508" width="12.08984375" style="771" customWidth="1"/>
    <col min="10509" max="10755" width="9.08984375" style="771"/>
    <col min="10756" max="10756" width="4.6328125" style="771" customWidth="1"/>
    <col min="10757" max="10757" width="11.08984375" style="771" customWidth="1"/>
    <col min="10758" max="10758" width="23.453125" style="771" customWidth="1"/>
    <col min="10759" max="10759" width="16.6328125" style="771" customWidth="1"/>
    <col min="10760" max="10760" width="16.08984375" style="771" customWidth="1"/>
    <col min="10761" max="10761" width="15.08984375" style="771" customWidth="1"/>
    <col min="10762" max="10762" width="20" style="771" customWidth="1"/>
    <col min="10763" max="10763" width="16.6328125" style="771" customWidth="1"/>
    <col min="10764" max="10764" width="12.08984375" style="771" customWidth="1"/>
    <col min="10765" max="11011" width="9.08984375" style="771"/>
    <col min="11012" max="11012" width="4.6328125" style="771" customWidth="1"/>
    <col min="11013" max="11013" width="11.08984375" style="771" customWidth="1"/>
    <col min="11014" max="11014" width="23.453125" style="771" customWidth="1"/>
    <col min="11015" max="11015" width="16.6328125" style="771" customWidth="1"/>
    <col min="11016" max="11016" width="16.08984375" style="771" customWidth="1"/>
    <col min="11017" max="11017" width="15.08984375" style="771" customWidth="1"/>
    <col min="11018" max="11018" width="20" style="771" customWidth="1"/>
    <col min="11019" max="11019" width="16.6328125" style="771" customWidth="1"/>
    <col min="11020" max="11020" width="12.08984375" style="771" customWidth="1"/>
    <col min="11021" max="11267" width="9.08984375" style="771"/>
    <col min="11268" max="11268" width="4.6328125" style="771" customWidth="1"/>
    <col min="11269" max="11269" width="11.08984375" style="771" customWidth="1"/>
    <col min="11270" max="11270" width="23.453125" style="771" customWidth="1"/>
    <col min="11271" max="11271" width="16.6328125" style="771" customWidth="1"/>
    <col min="11272" max="11272" width="16.08984375" style="771" customWidth="1"/>
    <col min="11273" max="11273" width="15.08984375" style="771" customWidth="1"/>
    <col min="11274" max="11274" width="20" style="771" customWidth="1"/>
    <col min="11275" max="11275" width="16.6328125" style="771" customWidth="1"/>
    <col min="11276" max="11276" width="12.08984375" style="771" customWidth="1"/>
    <col min="11277" max="11523" width="9.08984375" style="771"/>
    <col min="11524" max="11524" width="4.6328125" style="771" customWidth="1"/>
    <col min="11525" max="11525" width="11.08984375" style="771" customWidth="1"/>
    <col min="11526" max="11526" width="23.453125" style="771" customWidth="1"/>
    <col min="11527" max="11527" width="16.6328125" style="771" customWidth="1"/>
    <col min="11528" max="11528" width="16.08984375" style="771" customWidth="1"/>
    <col min="11529" max="11529" width="15.08984375" style="771" customWidth="1"/>
    <col min="11530" max="11530" width="20" style="771" customWidth="1"/>
    <col min="11531" max="11531" width="16.6328125" style="771" customWidth="1"/>
    <col min="11532" max="11532" width="12.08984375" style="771" customWidth="1"/>
    <col min="11533" max="11779" width="9.08984375" style="771"/>
    <col min="11780" max="11780" width="4.6328125" style="771" customWidth="1"/>
    <col min="11781" max="11781" width="11.08984375" style="771" customWidth="1"/>
    <col min="11782" max="11782" width="23.453125" style="771" customWidth="1"/>
    <col min="11783" max="11783" width="16.6328125" style="771" customWidth="1"/>
    <col min="11784" max="11784" width="16.08984375" style="771" customWidth="1"/>
    <col min="11785" max="11785" width="15.08984375" style="771" customWidth="1"/>
    <col min="11786" max="11786" width="20" style="771" customWidth="1"/>
    <col min="11787" max="11787" width="16.6328125" style="771" customWidth="1"/>
    <col min="11788" max="11788" width="12.08984375" style="771" customWidth="1"/>
    <col min="11789" max="12035" width="9.08984375" style="771"/>
    <col min="12036" max="12036" width="4.6328125" style="771" customWidth="1"/>
    <col min="12037" max="12037" width="11.08984375" style="771" customWidth="1"/>
    <col min="12038" max="12038" width="23.453125" style="771" customWidth="1"/>
    <col min="12039" max="12039" width="16.6328125" style="771" customWidth="1"/>
    <col min="12040" max="12040" width="16.08984375" style="771" customWidth="1"/>
    <col min="12041" max="12041" width="15.08984375" style="771" customWidth="1"/>
    <col min="12042" max="12042" width="20" style="771" customWidth="1"/>
    <col min="12043" max="12043" width="16.6328125" style="771" customWidth="1"/>
    <col min="12044" max="12044" width="12.08984375" style="771" customWidth="1"/>
    <col min="12045" max="12291" width="9.08984375" style="771"/>
    <col min="12292" max="12292" width="4.6328125" style="771" customWidth="1"/>
    <col min="12293" max="12293" width="11.08984375" style="771" customWidth="1"/>
    <col min="12294" max="12294" width="23.453125" style="771" customWidth="1"/>
    <col min="12295" max="12295" width="16.6328125" style="771" customWidth="1"/>
    <col min="12296" max="12296" width="16.08984375" style="771" customWidth="1"/>
    <col min="12297" max="12297" width="15.08984375" style="771" customWidth="1"/>
    <col min="12298" max="12298" width="20" style="771" customWidth="1"/>
    <col min="12299" max="12299" width="16.6328125" style="771" customWidth="1"/>
    <col min="12300" max="12300" width="12.08984375" style="771" customWidth="1"/>
    <col min="12301" max="12547" width="9.08984375" style="771"/>
    <col min="12548" max="12548" width="4.6328125" style="771" customWidth="1"/>
    <col min="12549" max="12549" width="11.08984375" style="771" customWidth="1"/>
    <col min="12550" max="12550" width="23.453125" style="771" customWidth="1"/>
    <col min="12551" max="12551" width="16.6328125" style="771" customWidth="1"/>
    <col min="12552" max="12552" width="16.08984375" style="771" customWidth="1"/>
    <col min="12553" max="12553" width="15.08984375" style="771" customWidth="1"/>
    <col min="12554" max="12554" width="20" style="771" customWidth="1"/>
    <col min="12555" max="12555" width="16.6328125" style="771" customWidth="1"/>
    <col min="12556" max="12556" width="12.08984375" style="771" customWidth="1"/>
    <col min="12557" max="12803" width="9.08984375" style="771"/>
    <col min="12804" max="12804" width="4.6328125" style="771" customWidth="1"/>
    <col min="12805" max="12805" width="11.08984375" style="771" customWidth="1"/>
    <col min="12806" max="12806" width="23.453125" style="771" customWidth="1"/>
    <col min="12807" max="12807" width="16.6328125" style="771" customWidth="1"/>
    <col min="12808" max="12808" width="16.08984375" style="771" customWidth="1"/>
    <col min="12809" max="12809" width="15.08984375" style="771" customWidth="1"/>
    <col min="12810" max="12810" width="20" style="771" customWidth="1"/>
    <col min="12811" max="12811" width="16.6328125" style="771" customWidth="1"/>
    <col min="12812" max="12812" width="12.08984375" style="771" customWidth="1"/>
    <col min="12813" max="13059" width="9.08984375" style="771"/>
    <col min="13060" max="13060" width="4.6328125" style="771" customWidth="1"/>
    <col min="13061" max="13061" width="11.08984375" style="771" customWidth="1"/>
    <col min="13062" max="13062" width="23.453125" style="771" customWidth="1"/>
    <col min="13063" max="13063" width="16.6328125" style="771" customWidth="1"/>
    <col min="13064" max="13064" width="16.08984375" style="771" customWidth="1"/>
    <col min="13065" max="13065" width="15.08984375" style="771" customWidth="1"/>
    <col min="13066" max="13066" width="20" style="771" customWidth="1"/>
    <col min="13067" max="13067" width="16.6328125" style="771" customWidth="1"/>
    <col min="13068" max="13068" width="12.08984375" style="771" customWidth="1"/>
    <col min="13069" max="13315" width="9.08984375" style="771"/>
    <col min="13316" max="13316" width="4.6328125" style="771" customWidth="1"/>
    <col min="13317" max="13317" width="11.08984375" style="771" customWidth="1"/>
    <col min="13318" max="13318" width="23.453125" style="771" customWidth="1"/>
    <col min="13319" max="13319" width="16.6328125" style="771" customWidth="1"/>
    <col min="13320" max="13320" width="16.08984375" style="771" customWidth="1"/>
    <col min="13321" max="13321" width="15.08984375" style="771" customWidth="1"/>
    <col min="13322" max="13322" width="20" style="771" customWidth="1"/>
    <col min="13323" max="13323" width="16.6328125" style="771" customWidth="1"/>
    <col min="13324" max="13324" width="12.08984375" style="771" customWidth="1"/>
    <col min="13325" max="13571" width="9.08984375" style="771"/>
    <col min="13572" max="13572" width="4.6328125" style="771" customWidth="1"/>
    <col min="13573" max="13573" width="11.08984375" style="771" customWidth="1"/>
    <col min="13574" max="13574" width="23.453125" style="771" customWidth="1"/>
    <col min="13575" max="13575" width="16.6328125" style="771" customWidth="1"/>
    <col min="13576" max="13576" width="16.08984375" style="771" customWidth="1"/>
    <col min="13577" max="13577" width="15.08984375" style="771" customWidth="1"/>
    <col min="13578" max="13578" width="20" style="771" customWidth="1"/>
    <col min="13579" max="13579" width="16.6328125" style="771" customWidth="1"/>
    <col min="13580" max="13580" width="12.08984375" style="771" customWidth="1"/>
    <col min="13581" max="13827" width="9.08984375" style="771"/>
    <col min="13828" max="13828" width="4.6328125" style="771" customWidth="1"/>
    <col min="13829" max="13829" width="11.08984375" style="771" customWidth="1"/>
    <col min="13830" max="13830" width="23.453125" style="771" customWidth="1"/>
    <col min="13831" max="13831" width="16.6328125" style="771" customWidth="1"/>
    <col min="13832" max="13832" width="16.08984375" style="771" customWidth="1"/>
    <col min="13833" max="13833" width="15.08984375" style="771" customWidth="1"/>
    <col min="13834" max="13834" width="20" style="771" customWidth="1"/>
    <col min="13835" max="13835" width="16.6328125" style="771" customWidth="1"/>
    <col min="13836" max="13836" width="12.08984375" style="771" customWidth="1"/>
    <col min="13837" max="14083" width="9.08984375" style="771"/>
    <col min="14084" max="14084" width="4.6328125" style="771" customWidth="1"/>
    <col min="14085" max="14085" width="11.08984375" style="771" customWidth="1"/>
    <col min="14086" max="14086" width="23.453125" style="771" customWidth="1"/>
    <col min="14087" max="14087" width="16.6328125" style="771" customWidth="1"/>
    <col min="14088" max="14088" width="16.08984375" style="771" customWidth="1"/>
    <col min="14089" max="14089" width="15.08984375" style="771" customWidth="1"/>
    <col min="14090" max="14090" width="20" style="771" customWidth="1"/>
    <col min="14091" max="14091" width="16.6328125" style="771" customWidth="1"/>
    <col min="14092" max="14092" width="12.08984375" style="771" customWidth="1"/>
    <col min="14093" max="14339" width="9.08984375" style="771"/>
    <col min="14340" max="14340" width="4.6328125" style="771" customWidth="1"/>
    <col min="14341" max="14341" width="11.08984375" style="771" customWidth="1"/>
    <col min="14342" max="14342" width="23.453125" style="771" customWidth="1"/>
    <col min="14343" max="14343" width="16.6328125" style="771" customWidth="1"/>
    <col min="14344" max="14344" width="16.08984375" style="771" customWidth="1"/>
    <col min="14345" max="14345" width="15.08984375" style="771" customWidth="1"/>
    <col min="14346" max="14346" width="20" style="771" customWidth="1"/>
    <col min="14347" max="14347" width="16.6328125" style="771" customWidth="1"/>
    <col min="14348" max="14348" width="12.08984375" style="771" customWidth="1"/>
    <col min="14349" max="14595" width="9.08984375" style="771"/>
    <col min="14596" max="14596" width="4.6328125" style="771" customWidth="1"/>
    <col min="14597" max="14597" width="11.08984375" style="771" customWidth="1"/>
    <col min="14598" max="14598" width="23.453125" style="771" customWidth="1"/>
    <col min="14599" max="14599" width="16.6328125" style="771" customWidth="1"/>
    <col min="14600" max="14600" width="16.08984375" style="771" customWidth="1"/>
    <col min="14601" max="14601" width="15.08984375" style="771" customWidth="1"/>
    <col min="14602" max="14602" width="20" style="771" customWidth="1"/>
    <col min="14603" max="14603" width="16.6328125" style="771" customWidth="1"/>
    <col min="14604" max="14604" width="12.08984375" style="771" customWidth="1"/>
    <col min="14605" max="14851" width="9.08984375" style="771"/>
    <col min="14852" max="14852" width="4.6328125" style="771" customWidth="1"/>
    <col min="14853" max="14853" width="11.08984375" style="771" customWidth="1"/>
    <col min="14854" max="14854" width="23.453125" style="771" customWidth="1"/>
    <col min="14855" max="14855" width="16.6328125" style="771" customWidth="1"/>
    <col min="14856" max="14856" width="16.08984375" style="771" customWidth="1"/>
    <col min="14857" max="14857" width="15.08984375" style="771" customWidth="1"/>
    <col min="14858" max="14858" width="20" style="771" customWidth="1"/>
    <col min="14859" max="14859" width="16.6328125" style="771" customWidth="1"/>
    <col min="14860" max="14860" width="12.08984375" style="771" customWidth="1"/>
    <col min="14861" max="15107" width="9.08984375" style="771"/>
    <col min="15108" max="15108" width="4.6328125" style="771" customWidth="1"/>
    <col min="15109" max="15109" width="11.08984375" style="771" customWidth="1"/>
    <col min="15110" max="15110" width="23.453125" style="771" customWidth="1"/>
    <col min="15111" max="15111" width="16.6328125" style="771" customWidth="1"/>
    <col min="15112" max="15112" width="16.08984375" style="771" customWidth="1"/>
    <col min="15113" max="15113" width="15.08984375" style="771" customWidth="1"/>
    <col min="15114" max="15114" width="20" style="771" customWidth="1"/>
    <col min="15115" max="15115" width="16.6328125" style="771" customWidth="1"/>
    <col min="15116" max="15116" width="12.08984375" style="771" customWidth="1"/>
    <col min="15117" max="15363" width="9.08984375" style="771"/>
    <col min="15364" max="15364" width="4.6328125" style="771" customWidth="1"/>
    <col min="15365" max="15365" width="11.08984375" style="771" customWidth="1"/>
    <col min="15366" max="15366" width="23.453125" style="771" customWidth="1"/>
    <col min="15367" max="15367" width="16.6328125" style="771" customWidth="1"/>
    <col min="15368" max="15368" width="16.08984375" style="771" customWidth="1"/>
    <col min="15369" max="15369" width="15.08984375" style="771" customWidth="1"/>
    <col min="15370" max="15370" width="20" style="771" customWidth="1"/>
    <col min="15371" max="15371" width="16.6328125" style="771" customWidth="1"/>
    <col min="15372" max="15372" width="12.08984375" style="771" customWidth="1"/>
    <col min="15373" max="15619" width="9.08984375" style="771"/>
    <col min="15620" max="15620" width="4.6328125" style="771" customWidth="1"/>
    <col min="15621" max="15621" width="11.08984375" style="771" customWidth="1"/>
    <col min="15622" max="15622" width="23.453125" style="771" customWidth="1"/>
    <col min="15623" max="15623" width="16.6328125" style="771" customWidth="1"/>
    <col min="15624" max="15624" width="16.08984375" style="771" customWidth="1"/>
    <col min="15625" max="15625" width="15.08984375" style="771" customWidth="1"/>
    <col min="15626" max="15626" width="20" style="771" customWidth="1"/>
    <col min="15627" max="15627" width="16.6328125" style="771" customWidth="1"/>
    <col min="15628" max="15628" width="12.08984375" style="771" customWidth="1"/>
    <col min="15629" max="15875" width="9.08984375" style="771"/>
    <col min="15876" max="15876" width="4.6328125" style="771" customWidth="1"/>
    <col min="15877" max="15877" width="11.08984375" style="771" customWidth="1"/>
    <col min="15878" max="15878" width="23.453125" style="771" customWidth="1"/>
    <col min="15879" max="15879" width="16.6328125" style="771" customWidth="1"/>
    <col min="15880" max="15880" width="16.08984375" style="771" customWidth="1"/>
    <col min="15881" max="15881" width="15.08984375" style="771" customWidth="1"/>
    <col min="15882" max="15882" width="20" style="771" customWidth="1"/>
    <col min="15883" max="15883" width="16.6328125" style="771" customWidth="1"/>
    <col min="15884" max="15884" width="12.08984375" style="771" customWidth="1"/>
    <col min="15885" max="16131" width="9.08984375" style="771"/>
    <col min="16132" max="16132" width="4.6328125" style="771" customWidth="1"/>
    <col min="16133" max="16133" width="11.08984375" style="771" customWidth="1"/>
    <col min="16134" max="16134" width="23.453125" style="771" customWidth="1"/>
    <col min="16135" max="16135" width="16.6328125" style="771" customWidth="1"/>
    <col min="16136" max="16136" width="16.08984375" style="771" customWidth="1"/>
    <col min="16137" max="16137" width="15.08984375" style="771" customWidth="1"/>
    <col min="16138" max="16138" width="20" style="771" customWidth="1"/>
    <col min="16139" max="16139" width="16.6328125" style="771" customWidth="1"/>
    <col min="16140" max="16140" width="12.08984375" style="771" customWidth="1"/>
    <col min="16141" max="16384" width="9.08984375" style="771"/>
  </cols>
  <sheetData>
    <row r="1" spans="2:14" x14ac:dyDescent="0.3">
      <c r="B1" s="770"/>
      <c r="C1" s="770"/>
      <c r="E1" s="771"/>
      <c r="F1" s="771"/>
      <c r="G1" s="771"/>
      <c r="H1" s="771"/>
      <c r="I1" s="771"/>
      <c r="J1" s="771"/>
      <c r="K1" s="771"/>
      <c r="L1" s="771"/>
    </row>
    <row r="2" spans="2:14" x14ac:dyDescent="0.3">
      <c r="B2" s="22"/>
      <c r="C2" s="22"/>
      <c r="D2" s="22"/>
      <c r="E2" s="22"/>
      <c r="F2" s="693" t="str">
        <f>Index!B2</f>
        <v xml:space="preserve">      Maharashtra State Power Generation Company Ltd.</v>
      </c>
      <c r="G2" s="22"/>
      <c r="H2" s="22"/>
      <c r="I2" s="22"/>
      <c r="J2" s="22"/>
      <c r="K2" s="22"/>
      <c r="L2" s="22"/>
    </row>
    <row r="3" spans="2:14" x14ac:dyDescent="0.3">
      <c r="C3" s="772"/>
      <c r="D3" s="772"/>
      <c r="E3" s="772"/>
      <c r="F3" s="697" t="s">
        <v>1035</v>
      </c>
      <c r="G3" s="772"/>
      <c r="H3" s="772"/>
      <c r="I3" s="772"/>
      <c r="J3" s="772"/>
      <c r="K3" s="772"/>
      <c r="L3" s="772"/>
    </row>
    <row r="4" spans="2:14" x14ac:dyDescent="0.3">
      <c r="B4" s="22"/>
      <c r="C4" s="22"/>
      <c r="D4" s="22"/>
      <c r="E4" s="22"/>
      <c r="F4" s="763" t="s">
        <v>1074</v>
      </c>
      <c r="G4" s="22"/>
      <c r="H4" s="22"/>
      <c r="I4" s="22"/>
      <c r="J4" s="22"/>
      <c r="K4" s="22"/>
      <c r="L4" s="22"/>
    </row>
    <row r="5" spans="2:14" x14ac:dyDescent="0.3">
      <c r="E5" s="771"/>
      <c r="F5" s="771"/>
      <c r="G5" s="771"/>
      <c r="H5" s="771"/>
      <c r="I5" s="771"/>
      <c r="J5" s="771"/>
      <c r="K5" s="771"/>
      <c r="L5" s="771"/>
    </row>
    <row r="6" spans="2:14" x14ac:dyDescent="0.3">
      <c r="E6" s="771"/>
      <c r="F6" s="771"/>
      <c r="G6" s="771"/>
      <c r="H6" s="771"/>
      <c r="I6" s="771"/>
      <c r="J6" s="771"/>
      <c r="K6" s="771"/>
      <c r="L6" s="771"/>
    </row>
    <row r="7" spans="2:14" s="773" customFormat="1" x14ac:dyDescent="0.3">
      <c r="B7" s="1732" t="s">
        <v>343</v>
      </c>
      <c r="C7" s="1732" t="s">
        <v>1041</v>
      </c>
      <c r="D7" s="1732" t="s">
        <v>1075</v>
      </c>
      <c r="E7" s="1762" t="s">
        <v>940</v>
      </c>
      <c r="F7" s="1763"/>
      <c r="G7" s="1762" t="s">
        <v>941</v>
      </c>
      <c r="H7" s="1763"/>
      <c r="I7" s="1762" t="s">
        <v>945</v>
      </c>
      <c r="J7" s="1763"/>
      <c r="K7" s="1762" t="s">
        <v>942</v>
      </c>
      <c r="L7" s="1763"/>
      <c r="M7" s="1762" t="s">
        <v>944</v>
      </c>
      <c r="N7" s="1763"/>
    </row>
    <row r="8" spans="2:14" ht="42" x14ac:dyDescent="0.3">
      <c r="B8" s="1734"/>
      <c r="C8" s="1734"/>
      <c r="D8" s="1734"/>
      <c r="E8" s="774" t="s">
        <v>1076</v>
      </c>
      <c r="F8" s="774" t="s">
        <v>1077</v>
      </c>
      <c r="G8" s="774" t="s">
        <v>1076</v>
      </c>
      <c r="H8" s="774" t="s">
        <v>1077</v>
      </c>
      <c r="I8" s="774" t="s">
        <v>1076</v>
      </c>
      <c r="J8" s="774" t="s">
        <v>1077</v>
      </c>
      <c r="K8" s="774" t="s">
        <v>1076</v>
      </c>
      <c r="L8" s="774" t="s">
        <v>1077</v>
      </c>
      <c r="M8" s="774" t="s">
        <v>1076</v>
      </c>
      <c r="N8" s="774" t="s">
        <v>1077</v>
      </c>
    </row>
    <row r="9" spans="2:14" x14ac:dyDescent="0.3">
      <c r="B9" s="775"/>
      <c r="C9" s="775"/>
      <c r="D9" s="1764" t="s">
        <v>1041</v>
      </c>
      <c r="E9" s="1765"/>
      <c r="F9" s="1765"/>
      <c r="G9" s="1765"/>
      <c r="H9" s="1765"/>
      <c r="I9" s="1765"/>
      <c r="J9" s="1765"/>
      <c r="K9" s="1765"/>
      <c r="L9" s="1765"/>
      <c r="M9" s="1765"/>
      <c r="N9" s="1766"/>
    </row>
    <row r="10" spans="2:14" x14ac:dyDescent="0.3">
      <c r="B10" s="776" t="s">
        <v>1078</v>
      </c>
      <c r="C10" s="777" t="s">
        <v>1079</v>
      </c>
      <c r="D10" s="1767"/>
      <c r="E10" s="1768"/>
      <c r="F10" s="1768"/>
      <c r="G10" s="1768"/>
      <c r="H10" s="1768"/>
      <c r="I10" s="1768"/>
      <c r="J10" s="1768"/>
      <c r="K10" s="1768"/>
      <c r="L10" s="1768"/>
      <c r="M10" s="1768"/>
      <c r="N10" s="1769"/>
    </row>
    <row r="11" spans="2:14" x14ac:dyDescent="0.3">
      <c r="B11" s="778"/>
      <c r="C11" s="779"/>
      <c r="D11" s="1767"/>
      <c r="E11" s="1768"/>
      <c r="F11" s="1768"/>
      <c r="G11" s="1768"/>
      <c r="H11" s="1768"/>
      <c r="I11" s="1768"/>
      <c r="J11" s="1768"/>
      <c r="K11" s="1768"/>
      <c r="L11" s="1768"/>
      <c r="M11" s="1768"/>
      <c r="N11" s="1769"/>
    </row>
    <row r="12" spans="2:14" x14ac:dyDescent="0.3">
      <c r="B12" s="778"/>
      <c r="C12" s="779"/>
      <c r="D12" s="1767"/>
      <c r="E12" s="1768"/>
      <c r="F12" s="1768"/>
      <c r="G12" s="1768"/>
      <c r="H12" s="1768"/>
      <c r="I12" s="1768"/>
      <c r="J12" s="1768"/>
      <c r="K12" s="1768"/>
      <c r="L12" s="1768"/>
      <c r="M12" s="1768"/>
      <c r="N12" s="1769"/>
    </row>
    <row r="13" spans="2:14" x14ac:dyDescent="0.3">
      <c r="B13" s="778"/>
      <c r="C13" s="779"/>
      <c r="D13" s="1767"/>
      <c r="E13" s="1768"/>
      <c r="F13" s="1768"/>
      <c r="G13" s="1768"/>
      <c r="H13" s="1768"/>
      <c r="I13" s="1768"/>
      <c r="J13" s="1768"/>
      <c r="K13" s="1768"/>
      <c r="L13" s="1768"/>
      <c r="M13" s="1768"/>
      <c r="N13" s="1769"/>
    </row>
    <row r="14" spans="2:14" x14ac:dyDescent="0.3">
      <c r="B14" s="778" t="s">
        <v>183</v>
      </c>
      <c r="C14" s="779" t="s">
        <v>1080</v>
      </c>
      <c r="D14" s="1767"/>
      <c r="E14" s="1768"/>
      <c r="F14" s="1768"/>
      <c r="G14" s="1768"/>
      <c r="H14" s="1768"/>
      <c r="I14" s="1768"/>
      <c r="J14" s="1768"/>
      <c r="K14" s="1768"/>
      <c r="L14" s="1768"/>
      <c r="M14" s="1768"/>
      <c r="N14" s="1769"/>
    </row>
    <row r="15" spans="2:14" x14ac:dyDescent="0.3">
      <c r="B15" s="778"/>
      <c r="C15" s="779"/>
      <c r="D15" s="1767"/>
      <c r="E15" s="1768"/>
      <c r="F15" s="1768"/>
      <c r="G15" s="1768"/>
      <c r="H15" s="1768"/>
      <c r="I15" s="1768"/>
      <c r="J15" s="1768"/>
      <c r="K15" s="1768"/>
      <c r="L15" s="1768"/>
      <c r="M15" s="1768"/>
      <c r="N15" s="1769"/>
    </row>
    <row r="16" spans="2:14" x14ac:dyDescent="0.3">
      <c r="B16" s="778"/>
      <c r="C16" s="779"/>
      <c r="D16" s="1767"/>
      <c r="E16" s="1768"/>
      <c r="F16" s="1768"/>
      <c r="G16" s="1768"/>
      <c r="H16" s="1768"/>
      <c r="I16" s="1768"/>
      <c r="J16" s="1768"/>
      <c r="K16" s="1768"/>
      <c r="L16" s="1768"/>
      <c r="M16" s="1768"/>
      <c r="N16" s="1769"/>
    </row>
    <row r="17" spans="2:14" s="782" customFormat="1" ht="14.5" thickBot="1" x14ac:dyDescent="0.35">
      <c r="B17" s="780"/>
      <c r="C17" s="781" t="s">
        <v>271</v>
      </c>
      <c r="D17" s="1770"/>
      <c r="E17" s="1771"/>
      <c r="F17" s="1771"/>
      <c r="G17" s="1771"/>
      <c r="H17" s="1771"/>
      <c r="I17" s="1771"/>
      <c r="J17" s="1771"/>
      <c r="K17" s="1771"/>
      <c r="L17" s="1771"/>
      <c r="M17" s="1771"/>
      <c r="N17" s="1772"/>
    </row>
    <row r="19" spans="2:14" x14ac:dyDescent="0.3">
      <c r="C19" s="771" t="s">
        <v>1081</v>
      </c>
    </row>
    <row r="20" spans="2:14" x14ac:dyDescent="0.3">
      <c r="C20" s="771" t="s">
        <v>1082</v>
      </c>
    </row>
    <row r="21" spans="2:14" x14ac:dyDescent="0.3">
      <c r="C21" s="771" t="s">
        <v>1083</v>
      </c>
    </row>
    <row r="29" spans="2:14" ht="29.4" customHeight="1" x14ac:dyDescent="0.3">
      <c r="C29" s="785"/>
    </row>
  </sheetData>
  <mergeCells count="9">
    <mergeCell ref="K7:L7"/>
    <mergeCell ref="M7:N7"/>
    <mergeCell ref="D9:N17"/>
    <mergeCell ref="B7:B8"/>
    <mergeCell ref="C7:C8"/>
    <mergeCell ref="D7:D8"/>
    <mergeCell ref="E7:F7"/>
    <mergeCell ref="G7:H7"/>
    <mergeCell ref="I7:J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J29"/>
  <sheetViews>
    <sheetView workbookViewId="0">
      <selection activeCell="A3" sqref="A3:T3"/>
    </sheetView>
  </sheetViews>
  <sheetFormatPr defaultColWidth="9.08984375" defaultRowHeight="14" x14ac:dyDescent="0.3"/>
  <cols>
    <col min="1" max="1" width="9.08984375" style="661"/>
    <col min="2" max="2" width="39" style="661" customWidth="1"/>
    <col min="3" max="3" width="19.08984375" style="661" customWidth="1"/>
    <col min="4" max="7" width="15.6328125" style="661" customWidth="1"/>
    <col min="8" max="259" width="9.08984375" style="661"/>
    <col min="260" max="260" width="82.6328125" style="661" bestFit="1" customWidth="1"/>
    <col min="261" max="263" width="28.6328125" style="661" customWidth="1"/>
    <col min="264" max="515" width="9.08984375" style="661"/>
    <col min="516" max="516" width="82.6328125" style="661" bestFit="1" customWidth="1"/>
    <col min="517" max="519" width="28.6328125" style="661" customWidth="1"/>
    <col min="520" max="771" width="9.08984375" style="661"/>
    <col min="772" max="772" width="82.6328125" style="661" bestFit="1" customWidth="1"/>
    <col min="773" max="775" width="28.6328125" style="661" customWidth="1"/>
    <col min="776" max="1027" width="9.08984375" style="661"/>
    <col min="1028" max="1028" width="82.6328125" style="661" bestFit="1" customWidth="1"/>
    <col min="1029" max="1031" width="28.6328125" style="661" customWidth="1"/>
    <col min="1032" max="1283" width="9.08984375" style="661"/>
    <col min="1284" max="1284" width="82.6328125" style="661" bestFit="1" customWidth="1"/>
    <col min="1285" max="1287" width="28.6328125" style="661" customWidth="1"/>
    <col min="1288" max="1539" width="9.08984375" style="661"/>
    <col min="1540" max="1540" width="82.6328125" style="661" bestFit="1" customWidth="1"/>
    <col min="1541" max="1543" width="28.6328125" style="661" customWidth="1"/>
    <col min="1544" max="1795" width="9.08984375" style="661"/>
    <col min="1796" max="1796" width="82.6328125" style="661" bestFit="1" customWidth="1"/>
    <col min="1797" max="1799" width="28.6328125" style="661" customWidth="1"/>
    <col min="1800" max="2051" width="9.08984375" style="661"/>
    <col min="2052" max="2052" width="82.6328125" style="661" bestFit="1" customWidth="1"/>
    <col min="2053" max="2055" width="28.6328125" style="661" customWidth="1"/>
    <col min="2056" max="2307" width="9.08984375" style="661"/>
    <col min="2308" max="2308" width="82.6328125" style="661" bestFit="1" customWidth="1"/>
    <col min="2309" max="2311" width="28.6328125" style="661" customWidth="1"/>
    <col min="2312" max="2563" width="9.08984375" style="661"/>
    <col min="2564" max="2564" width="82.6328125" style="661" bestFit="1" customWidth="1"/>
    <col min="2565" max="2567" width="28.6328125" style="661" customWidth="1"/>
    <col min="2568" max="2819" width="9.08984375" style="661"/>
    <col min="2820" max="2820" width="82.6328125" style="661" bestFit="1" customWidth="1"/>
    <col min="2821" max="2823" width="28.6328125" style="661" customWidth="1"/>
    <col min="2824" max="3075" width="9.08984375" style="661"/>
    <col min="3076" max="3076" width="82.6328125" style="661" bestFit="1" customWidth="1"/>
    <col min="3077" max="3079" width="28.6328125" style="661" customWidth="1"/>
    <col min="3080" max="3331" width="9.08984375" style="661"/>
    <col min="3332" max="3332" width="82.6328125" style="661" bestFit="1" customWidth="1"/>
    <col min="3333" max="3335" width="28.6328125" style="661" customWidth="1"/>
    <col min="3336" max="3587" width="9.08984375" style="661"/>
    <col min="3588" max="3588" width="82.6328125" style="661" bestFit="1" customWidth="1"/>
    <col min="3589" max="3591" width="28.6328125" style="661" customWidth="1"/>
    <col min="3592" max="3843" width="9.08984375" style="661"/>
    <col min="3844" max="3844" width="82.6328125" style="661" bestFit="1" customWidth="1"/>
    <col min="3845" max="3847" width="28.6328125" style="661" customWidth="1"/>
    <col min="3848" max="4099" width="9.08984375" style="661"/>
    <col min="4100" max="4100" width="82.6328125" style="661" bestFit="1" customWidth="1"/>
    <col min="4101" max="4103" width="28.6328125" style="661" customWidth="1"/>
    <col min="4104" max="4355" width="9.08984375" style="661"/>
    <col min="4356" max="4356" width="82.6328125" style="661" bestFit="1" customWidth="1"/>
    <col min="4357" max="4359" width="28.6328125" style="661" customWidth="1"/>
    <col min="4360" max="4611" width="9.08984375" style="661"/>
    <col min="4612" max="4612" width="82.6328125" style="661" bestFit="1" customWidth="1"/>
    <col min="4613" max="4615" width="28.6328125" style="661" customWidth="1"/>
    <col min="4616" max="4867" width="9.08984375" style="661"/>
    <col min="4868" max="4868" width="82.6328125" style="661" bestFit="1" customWidth="1"/>
    <col min="4869" max="4871" width="28.6328125" style="661" customWidth="1"/>
    <col min="4872" max="5123" width="9.08984375" style="661"/>
    <col min="5124" max="5124" width="82.6328125" style="661" bestFit="1" customWidth="1"/>
    <col min="5125" max="5127" width="28.6328125" style="661" customWidth="1"/>
    <col min="5128" max="5379" width="9.08984375" style="661"/>
    <col min="5380" max="5380" width="82.6328125" style="661" bestFit="1" customWidth="1"/>
    <col min="5381" max="5383" width="28.6328125" style="661" customWidth="1"/>
    <col min="5384" max="5635" width="9.08984375" style="661"/>
    <col min="5636" max="5636" width="82.6328125" style="661" bestFit="1" customWidth="1"/>
    <col min="5637" max="5639" width="28.6328125" style="661" customWidth="1"/>
    <col min="5640" max="5891" width="9.08984375" style="661"/>
    <col min="5892" max="5892" width="82.6328125" style="661" bestFit="1" customWidth="1"/>
    <col min="5893" max="5895" width="28.6328125" style="661" customWidth="1"/>
    <col min="5896" max="6147" width="9.08984375" style="661"/>
    <col min="6148" max="6148" width="82.6328125" style="661" bestFit="1" customWidth="1"/>
    <col min="6149" max="6151" width="28.6328125" style="661" customWidth="1"/>
    <col min="6152" max="6403" width="9.08984375" style="661"/>
    <col min="6404" max="6404" width="82.6328125" style="661" bestFit="1" customWidth="1"/>
    <col min="6405" max="6407" width="28.6328125" style="661" customWidth="1"/>
    <col min="6408" max="6659" width="9.08984375" style="661"/>
    <col min="6660" max="6660" width="82.6328125" style="661" bestFit="1" customWidth="1"/>
    <col min="6661" max="6663" width="28.6328125" style="661" customWidth="1"/>
    <col min="6664" max="6915" width="9.08984375" style="661"/>
    <col min="6916" max="6916" width="82.6328125" style="661" bestFit="1" customWidth="1"/>
    <col min="6917" max="6919" width="28.6328125" style="661" customWidth="1"/>
    <col min="6920" max="7171" width="9.08984375" style="661"/>
    <col min="7172" max="7172" width="82.6328125" style="661" bestFit="1" customWidth="1"/>
    <col min="7173" max="7175" width="28.6328125" style="661" customWidth="1"/>
    <col min="7176" max="7427" width="9.08984375" style="661"/>
    <col min="7428" max="7428" width="82.6328125" style="661" bestFit="1" customWidth="1"/>
    <col min="7429" max="7431" width="28.6328125" style="661" customWidth="1"/>
    <col min="7432" max="7683" width="9.08984375" style="661"/>
    <col min="7684" max="7684" width="82.6328125" style="661" bestFit="1" customWidth="1"/>
    <col min="7685" max="7687" width="28.6328125" style="661" customWidth="1"/>
    <col min="7688" max="7939" width="9.08984375" style="661"/>
    <col min="7940" max="7940" width="82.6328125" style="661" bestFit="1" customWidth="1"/>
    <col min="7941" max="7943" width="28.6328125" style="661" customWidth="1"/>
    <col min="7944" max="8195" width="9.08984375" style="661"/>
    <col min="8196" max="8196" width="82.6328125" style="661" bestFit="1" customWidth="1"/>
    <col min="8197" max="8199" width="28.6328125" style="661" customWidth="1"/>
    <col min="8200" max="8451" width="9.08984375" style="661"/>
    <col min="8452" max="8452" width="82.6328125" style="661" bestFit="1" customWidth="1"/>
    <col min="8453" max="8455" width="28.6328125" style="661" customWidth="1"/>
    <col min="8456" max="8707" width="9.08984375" style="661"/>
    <col min="8708" max="8708" width="82.6328125" style="661" bestFit="1" customWidth="1"/>
    <col min="8709" max="8711" width="28.6328125" style="661" customWidth="1"/>
    <col min="8712" max="8963" width="9.08984375" style="661"/>
    <col min="8964" max="8964" width="82.6328125" style="661" bestFit="1" customWidth="1"/>
    <col min="8965" max="8967" width="28.6328125" style="661" customWidth="1"/>
    <col min="8968" max="9219" width="9.08984375" style="661"/>
    <col min="9220" max="9220" width="82.6328125" style="661" bestFit="1" customWidth="1"/>
    <col min="9221" max="9223" width="28.6328125" style="661" customWidth="1"/>
    <col min="9224" max="9475" width="9.08984375" style="661"/>
    <col min="9476" max="9476" width="82.6328125" style="661" bestFit="1" customWidth="1"/>
    <col min="9477" max="9479" width="28.6328125" style="661" customWidth="1"/>
    <col min="9480" max="9731" width="9.08984375" style="661"/>
    <col min="9732" max="9732" width="82.6328125" style="661" bestFit="1" customWidth="1"/>
    <col min="9733" max="9735" width="28.6328125" style="661" customWidth="1"/>
    <col min="9736" max="9987" width="9.08984375" style="661"/>
    <col min="9988" max="9988" width="82.6328125" style="661" bestFit="1" customWidth="1"/>
    <col min="9989" max="9991" width="28.6328125" style="661" customWidth="1"/>
    <col min="9992" max="10243" width="9.08984375" style="661"/>
    <col min="10244" max="10244" width="82.6328125" style="661" bestFit="1" customWidth="1"/>
    <col min="10245" max="10247" width="28.6328125" style="661" customWidth="1"/>
    <col min="10248" max="10499" width="9.08984375" style="661"/>
    <col min="10500" max="10500" width="82.6328125" style="661" bestFit="1" customWidth="1"/>
    <col min="10501" max="10503" width="28.6328125" style="661" customWidth="1"/>
    <col min="10504" max="10755" width="9.08984375" style="661"/>
    <col min="10756" max="10756" width="82.6328125" style="661" bestFit="1" customWidth="1"/>
    <col min="10757" max="10759" width="28.6328125" style="661" customWidth="1"/>
    <col min="10760" max="11011" width="9.08984375" style="661"/>
    <col min="11012" max="11012" width="82.6328125" style="661" bestFit="1" customWidth="1"/>
    <col min="11013" max="11015" width="28.6328125" style="661" customWidth="1"/>
    <col min="11016" max="11267" width="9.08984375" style="661"/>
    <col min="11268" max="11268" width="82.6328125" style="661" bestFit="1" customWidth="1"/>
    <col min="11269" max="11271" width="28.6328125" style="661" customWidth="1"/>
    <col min="11272" max="11523" width="9.08984375" style="661"/>
    <col min="11524" max="11524" width="82.6328125" style="661" bestFit="1" customWidth="1"/>
    <col min="11525" max="11527" width="28.6328125" style="661" customWidth="1"/>
    <col min="11528" max="11779" width="9.08984375" style="661"/>
    <col min="11780" max="11780" width="82.6328125" style="661" bestFit="1" customWidth="1"/>
    <col min="11781" max="11783" width="28.6328125" style="661" customWidth="1"/>
    <col min="11784" max="12035" width="9.08984375" style="661"/>
    <col min="12036" max="12036" width="82.6328125" style="661" bestFit="1" customWidth="1"/>
    <col min="12037" max="12039" width="28.6328125" style="661" customWidth="1"/>
    <col min="12040" max="12291" width="9.08984375" style="661"/>
    <col min="12292" max="12292" width="82.6328125" style="661" bestFit="1" customWidth="1"/>
    <col min="12293" max="12295" width="28.6328125" style="661" customWidth="1"/>
    <col min="12296" max="12547" width="9.08984375" style="661"/>
    <col min="12548" max="12548" width="82.6328125" style="661" bestFit="1" customWidth="1"/>
    <col min="12549" max="12551" width="28.6328125" style="661" customWidth="1"/>
    <col min="12552" max="12803" width="9.08984375" style="661"/>
    <col min="12804" max="12804" width="82.6328125" style="661" bestFit="1" customWidth="1"/>
    <col min="12805" max="12807" width="28.6328125" style="661" customWidth="1"/>
    <col min="12808" max="13059" width="9.08984375" style="661"/>
    <col min="13060" max="13060" width="82.6328125" style="661" bestFit="1" customWidth="1"/>
    <col min="13061" max="13063" width="28.6328125" style="661" customWidth="1"/>
    <col min="13064" max="13315" width="9.08984375" style="661"/>
    <col min="13316" max="13316" width="82.6328125" style="661" bestFit="1" customWidth="1"/>
    <col min="13317" max="13319" width="28.6328125" style="661" customWidth="1"/>
    <col min="13320" max="13571" width="9.08984375" style="661"/>
    <col min="13572" max="13572" width="82.6328125" style="661" bestFit="1" customWidth="1"/>
    <col min="13573" max="13575" width="28.6328125" style="661" customWidth="1"/>
    <col min="13576" max="13827" width="9.08984375" style="661"/>
    <col min="13828" max="13828" width="82.6328125" style="661" bestFit="1" customWidth="1"/>
    <col min="13829" max="13831" width="28.6328125" style="661" customWidth="1"/>
    <col min="13832" max="14083" width="9.08984375" style="661"/>
    <col min="14084" max="14084" width="82.6328125" style="661" bestFit="1" customWidth="1"/>
    <col min="14085" max="14087" width="28.6328125" style="661" customWidth="1"/>
    <col min="14088" max="14339" width="9.08984375" style="661"/>
    <col min="14340" max="14340" width="82.6328125" style="661" bestFit="1" customWidth="1"/>
    <col min="14341" max="14343" width="28.6328125" style="661" customWidth="1"/>
    <col min="14344" max="14595" width="9.08984375" style="661"/>
    <col min="14596" max="14596" width="82.6328125" style="661" bestFit="1" customWidth="1"/>
    <col min="14597" max="14599" width="28.6328125" style="661" customWidth="1"/>
    <col min="14600" max="14851" width="9.08984375" style="661"/>
    <col min="14852" max="14852" width="82.6328125" style="661" bestFit="1" customWidth="1"/>
    <col min="14853" max="14855" width="28.6328125" style="661" customWidth="1"/>
    <col min="14856" max="15107" width="9.08984375" style="661"/>
    <col min="15108" max="15108" width="82.6328125" style="661" bestFit="1" customWidth="1"/>
    <col min="15109" max="15111" width="28.6328125" style="661" customWidth="1"/>
    <col min="15112" max="15363" width="9.08984375" style="661"/>
    <col min="15364" max="15364" width="82.6328125" style="661" bestFit="1" customWidth="1"/>
    <col min="15365" max="15367" width="28.6328125" style="661" customWidth="1"/>
    <col min="15368" max="15619" width="9.08984375" style="661"/>
    <col min="15620" max="15620" width="82.6328125" style="661" bestFit="1" customWidth="1"/>
    <col min="15621" max="15623" width="28.6328125" style="661" customWidth="1"/>
    <col min="15624" max="15875" width="9.08984375" style="661"/>
    <col min="15876" max="15876" width="82.6328125" style="661" bestFit="1" customWidth="1"/>
    <col min="15877" max="15879" width="28.6328125" style="661" customWidth="1"/>
    <col min="15880" max="16131" width="9.08984375" style="661"/>
    <col min="16132" max="16132" width="82.6328125" style="661" bestFit="1" customWidth="1"/>
    <col min="16133" max="16135" width="28.6328125" style="661" customWidth="1"/>
    <col min="16136" max="16384" width="9.08984375" style="661"/>
  </cols>
  <sheetData>
    <row r="1" spans="2:10" x14ac:dyDescent="0.3">
      <c r="B1" s="725"/>
    </row>
    <row r="2" spans="2:10" x14ac:dyDescent="0.3">
      <c r="B2" s="22"/>
      <c r="C2" s="693" t="str">
        <f>Index!B2</f>
        <v xml:space="preserve">      Maharashtra State Power Generation Company Ltd.</v>
      </c>
      <c r="D2" s="693"/>
      <c r="E2" s="693"/>
      <c r="F2" s="22"/>
      <c r="G2" s="22"/>
    </row>
    <row r="3" spans="2:10" x14ac:dyDescent="0.3">
      <c r="B3" s="762"/>
      <c r="C3" s="697" t="s">
        <v>1035</v>
      </c>
      <c r="D3" s="697"/>
      <c r="E3" s="697"/>
      <c r="F3" s="762"/>
      <c r="G3" s="762"/>
    </row>
    <row r="4" spans="2:10" x14ac:dyDescent="0.3">
      <c r="B4" s="22"/>
      <c r="C4" s="763" t="s">
        <v>1063</v>
      </c>
      <c r="D4" s="763"/>
      <c r="E4" s="763"/>
      <c r="F4" s="22"/>
      <c r="G4" s="22"/>
      <c r="J4" s="693"/>
    </row>
    <row r="5" spans="2:10" x14ac:dyDescent="0.3">
      <c r="G5" s="764" t="s">
        <v>10</v>
      </c>
      <c r="J5" s="697"/>
    </row>
    <row r="6" spans="2:10" s="765" customFormat="1" x14ac:dyDescent="0.3">
      <c r="B6" s="727" t="s">
        <v>1064</v>
      </c>
      <c r="C6" s="727" t="s">
        <v>940</v>
      </c>
      <c r="D6" s="727" t="s">
        <v>941</v>
      </c>
      <c r="E6" s="727" t="s">
        <v>945</v>
      </c>
      <c r="F6" s="727" t="s">
        <v>942</v>
      </c>
      <c r="G6" s="727" t="s">
        <v>944</v>
      </c>
      <c r="J6" s="763"/>
    </row>
    <row r="7" spans="2:10" x14ac:dyDescent="0.3">
      <c r="B7" s="718"/>
      <c r="C7" s="1703" t="s">
        <v>1041</v>
      </c>
      <c r="D7" s="1704"/>
      <c r="E7" s="1704"/>
      <c r="F7" s="1704"/>
      <c r="G7" s="1705"/>
    </row>
    <row r="8" spans="2:10" x14ac:dyDescent="0.3">
      <c r="B8" s="766" t="s">
        <v>1065</v>
      </c>
      <c r="C8" s="1706"/>
      <c r="D8" s="1707"/>
      <c r="E8" s="1707"/>
      <c r="F8" s="1707"/>
      <c r="G8" s="1708"/>
    </row>
    <row r="9" spans="2:10" x14ac:dyDescent="0.3">
      <c r="B9" s="767"/>
      <c r="C9" s="1706"/>
      <c r="D9" s="1707"/>
      <c r="E9" s="1707"/>
      <c r="F9" s="1707"/>
      <c r="G9" s="1708"/>
    </row>
    <row r="10" spans="2:10" x14ac:dyDescent="0.3">
      <c r="B10" s="767" t="s">
        <v>1066</v>
      </c>
      <c r="C10" s="1706"/>
      <c r="D10" s="1707"/>
      <c r="E10" s="1707"/>
      <c r="F10" s="1707"/>
      <c r="G10" s="1708"/>
    </row>
    <row r="11" spans="2:10" x14ac:dyDescent="0.3">
      <c r="B11" s="766" t="s">
        <v>1067</v>
      </c>
      <c r="C11" s="1706"/>
      <c r="D11" s="1707"/>
      <c r="E11" s="1707"/>
      <c r="F11" s="1707"/>
      <c r="G11" s="1708"/>
    </row>
    <row r="12" spans="2:10" x14ac:dyDescent="0.3">
      <c r="B12" s="766" t="s">
        <v>1068</v>
      </c>
      <c r="C12" s="1706"/>
      <c r="D12" s="1707"/>
      <c r="E12" s="1707"/>
      <c r="F12" s="1707"/>
      <c r="G12" s="1708"/>
    </row>
    <row r="13" spans="2:10" x14ac:dyDescent="0.3">
      <c r="B13" s="766" t="s">
        <v>1069</v>
      </c>
      <c r="C13" s="1706"/>
      <c r="D13" s="1707"/>
      <c r="E13" s="1707"/>
      <c r="F13" s="1707"/>
      <c r="G13" s="1708"/>
    </row>
    <row r="14" spans="2:10" x14ac:dyDescent="0.3">
      <c r="B14" s="722" t="s">
        <v>1070</v>
      </c>
      <c r="C14" s="1706"/>
      <c r="D14" s="1707"/>
      <c r="E14" s="1707"/>
      <c r="F14" s="1707"/>
      <c r="G14" s="1708"/>
    </row>
    <row r="15" spans="2:10" x14ac:dyDescent="0.3">
      <c r="B15" s="718"/>
      <c r="C15" s="1706"/>
      <c r="D15" s="1707"/>
      <c r="E15" s="1707"/>
      <c r="F15" s="1707"/>
      <c r="G15" s="1708"/>
    </row>
    <row r="16" spans="2:10" x14ac:dyDescent="0.3">
      <c r="B16" s="768" t="s">
        <v>1071</v>
      </c>
      <c r="C16" s="1706"/>
      <c r="D16" s="1707"/>
      <c r="E16" s="1707"/>
      <c r="F16" s="1707"/>
      <c r="G16" s="1708"/>
    </row>
    <row r="17" spans="2:7" x14ac:dyDescent="0.3">
      <c r="B17" s="722" t="s">
        <v>1072</v>
      </c>
      <c r="C17" s="1706"/>
      <c r="D17" s="1707"/>
      <c r="E17" s="1707"/>
      <c r="F17" s="1707"/>
      <c r="G17" s="1708"/>
    </row>
    <row r="18" spans="2:7" x14ac:dyDescent="0.3">
      <c r="B18" s="722" t="s">
        <v>1073</v>
      </c>
      <c r="C18" s="1706"/>
      <c r="D18" s="1707"/>
      <c r="E18" s="1707"/>
      <c r="F18" s="1707"/>
      <c r="G18" s="1708"/>
    </row>
    <row r="19" spans="2:7" x14ac:dyDescent="0.3">
      <c r="B19" s="718"/>
      <c r="C19" s="1706"/>
      <c r="D19" s="1707"/>
      <c r="E19" s="1707"/>
      <c r="F19" s="1707"/>
      <c r="G19" s="1708"/>
    </row>
    <row r="20" spans="2:7" x14ac:dyDescent="0.3">
      <c r="B20" s="722" t="s">
        <v>271</v>
      </c>
      <c r="C20" s="1709"/>
      <c r="D20" s="1710"/>
      <c r="E20" s="1710"/>
      <c r="F20" s="1710"/>
      <c r="G20" s="1711"/>
    </row>
    <row r="21" spans="2:7" x14ac:dyDescent="0.3">
      <c r="C21" s="733"/>
      <c r="D21" s="733"/>
      <c r="E21" s="733"/>
      <c r="F21" s="769"/>
      <c r="G21" s="487"/>
    </row>
    <row r="29" spans="2:7" ht="29.4" customHeight="1" x14ac:dyDescent="0.3">
      <c r="C29" s="735"/>
    </row>
  </sheetData>
  <mergeCells count="1">
    <mergeCell ref="C7:G2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Z55"/>
  <sheetViews>
    <sheetView workbookViewId="0">
      <selection activeCell="A3" sqref="A3:T3"/>
    </sheetView>
  </sheetViews>
  <sheetFormatPr defaultColWidth="9.08984375" defaultRowHeight="14" x14ac:dyDescent="0.3"/>
  <cols>
    <col min="1" max="1" width="2.90625" style="737" customWidth="1"/>
    <col min="2" max="2" width="9.6328125" style="737" customWidth="1"/>
    <col min="3" max="3" width="36.36328125" style="737" customWidth="1"/>
    <col min="4" max="20" width="9.08984375" style="737" customWidth="1"/>
    <col min="21" max="23" width="9.08984375" style="737"/>
    <col min="24" max="24" width="11.36328125" style="737" customWidth="1"/>
    <col min="25" max="25" width="10.36328125" style="737" customWidth="1"/>
    <col min="26" max="233" width="9.08984375" style="737"/>
    <col min="234" max="234" width="2.90625" style="737" customWidth="1"/>
    <col min="235" max="235" width="13.08984375" style="737" customWidth="1"/>
    <col min="236" max="236" width="60.36328125" style="737" customWidth="1"/>
    <col min="237" max="241" width="10.90625" style="737" bestFit="1" customWidth="1"/>
    <col min="242" max="242" width="11.90625" style="737" bestFit="1" customWidth="1"/>
    <col min="243" max="243" width="14.36328125" style="737" bestFit="1" customWidth="1"/>
    <col min="244" max="244" width="17.453125" style="737" bestFit="1" customWidth="1"/>
    <col min="245" max="247" width="17.54296875" style="737" bestFit="1" customWidth="1"/>
    <col min="248" max="254" width="21" style="737" bestFit="1" customWidth="1"/>
    <col min="255" max="262" width="21.08984375" style="737" bestFit="1" customWidth="1"/>
    <col min="263" max="263" width="22.6328125" style="737" customWidth="1"/>
    <col min="264" max="264" width="22" style="737" customWidth="1"/>
    <col min="265" max="265" width="22.6328125" style="737" customWidth="1"/>
    <col min="266" max="271" width="21.08984375" style="737" bestFit="1" customWidth="1"/>
    <col min="272" max="272" width="19.54296875" style="737" customWidth="1"/>
    <col min="273" max="273" width="21.08984375" style="737" bestFit="1" customWidth="1"/>
    <col min="274" max="274" width="22.6328125" style="737" customWidth="1"/>
    <col min="275" max="275" width="22" style="737" customWidth="1"/>
    <col min="276" max="276" width="23.453125" style="737" bestFit="1" customWidth="1"/>
    <col min="277" max="279" width="9.08984375" style="737"/>
    <col min="280" max="280" width="11.36328125" style="737" customWidth="1"/>
    <col min="281" max="281" width="10.36328125" style="737" customWidth="1"/>
    <col min="282" max="489" width="9.08984375" style="737"/>
    <col min="490" max="490" width="2.90625" style="737" customWidth="1"/>
    <col min="491" max="491" width="13.08984375" style="737" customWidth="1"/>
    <col min="492" max="492" width="60.36328125" style="737" customWidth="1"/>
    <col min="493" max="497" width="10.90625" style="737" bestFit="1" customWidth="1"/>
    <col min="498" max="498" width="11.90625" style="737" bestFit="1" customWidth="1"/>
    <col min="499" max="499" width="14.36328125" style="737" bestFit="1" customWidth="1"/>
    <col min="500" max="500" width="17.453125" style="737" bestFit="1" customWidth="1"/>
    <col min="501" max="503" width="17.54296875" style="737" bestFit="1" customWidth="1"/>
    <col min="504" max="510" width="21" style="737" bestFit="1" customWidth="1"/>
    <col min="511" max="518" width="21.08984375" style="737" bestFit="1" customWidth="1"/>
    <col min="519" max="519" width="22.6328125" style="737" customWidth="1"/>
    <col min="520" max="520" width="22" style="737" customWidth="1"/>
    <col min="521" max="521" width="22.6328125" style="737" customWidth="1"/>
    <col min="522" max="527" width="21.08984375" style="737" bestFit="1" customWidth="1"/>
    <col min="528" max="528" width="19.54296875" style="737" customWidth="1"/>
    <col min="529" max="529" width="21.08984375" style="737" bestFit="1" customWidth="1"/>
    <col min="530" max="530" width="22.6328125" style="737" customWidth="1"/>
    <col min="531" max="531" width="22" style="737" customWidth="1"/>
    <col min="532" max="532" width="23.453125" style="737" bestFit="1" customWidth="1"/>
    <col min="533" max="535" width="9.08984375" style="737"/>
    <col min="536" max="536" width="11.36328125" style="737" customWidth="1"/>
    <col min="537" max="537" width="10.36328125" style="737" customWidth="1"/>
    <col min="538" max="745" width="9.08984375" style="737"/>
    <col min="746" max="746" width="2.90625" style="737" customWidth="1"/>
    <col min="747" max="747" width="13.08984375" style="737" customWidth="1"/>
    <col min="748" max="748" width="60.36328125" style="737" customWidth="1"/>
    <col min="749" max="753" width="10.90625" style="737" bestFit="1" customWidth="1"/>
    <col min="754" max="754" width="11.90625" style="737" bestFit="1" customWidth="1"/>
    <col min="755" max="755" width="14.36328125" style="737" bestFit="1" customWidth="1"/>
    <col min="756" max="756" width="17.453125" style="737" bestFit="1" customWidth="1"/>
    <col min="757" max="759" width="17.54296875" style="737" bestFit="1" customWidth="1"/>
    <col min="760" max="766" width="21" style="737" bestFit="1" customWidth="1"/>
    <col min="767" max="774" width="21.08984375" style="737" bestFit="1" customWidth="1"/>
    <col min="775" max="775" width="22.6328125" style="737" customWidth="1"/>
    <col min="776" max="776" width="22" style="737" customWidth="1"/>
    <col min="777" max="777" width="22.6328125" style="737" customWidth="1"/>
    <col min="778" max="783" width="21.08984375" style="737" bestFit="1" customWidth="1"/>
    <col min="784" max="784" width="19.54296875" style="737" customWidth="1"/>
    <col min="785" max="785" width="21.08984375" style="737" bestFit="1" customWidth="1"/>
    <col min="786" max="786" width="22.6328125" style="737" customWidth="1"/>
    <col min="787" max="787" width="22" style="737" customWidth="1"/>
    <col min="788" max="788" width="23.453125" style="737" bestFit="1" customWidth="1"/>
    <col min="789" max="791" width="9.08984375" style="737"/>
    <col min="792" max="792" width="11.36328125" style="737" customWidth="1"/>
    <col min="793" max="793" width="10.36328125" style="737" customWidth="1"/>
    <col min="794" max="1001" width="9.08984375" style="737"/>
    <col min="1002" max="1002" width="2.90625" style="737" customWidth="1"/>
    <col min="1003" max="1003" width="13.08984375" style="737" customWidth="1"/>
    <col min="1004" max="1004" width="60.36328125" style="737" customWidth="1"/>
    <col min="1005" max="1009" width="10.90625" style="737" bestFit="1" customWidth="1"/>
    <col min="1010" max="1010" width="11.90625" style="737" bestFit="1" customWidth="1"/>
    <col min="1011" max="1011" width="14.36328125" style="737" bestFit="1" customWidth="1"/>
    <col min="1012" max="1012" width="17.453125" style="737" bestFit="1" customWidth="1"/>
    <col min="1013" max="1015" width="17.54296875" style="737" bestFit="1" customWidth="1"/>
    <col min="1016" max="1022" width="21" style="737" bestFit="1" customWidth="1"/>
    <col min="1023" max="1030" width="21.08984375" style="737" bestFit="1" customWidth="1"/>
    <col min="1031" max="1031" width="22.6328125" style="737" customWidth="1"/>
    <col min="1032" max="1032" width="22" style="737" customWidth="1"/>
    <col min="1033" max="1033" width="22.6328125" style="737" customWidth="1"/>
    <col min="1034" max="1039" width="21.08984375" style="737" bestFit="1" customWidth="1"/>
    <col min="1040" max="1040" width="19.54296875" style="737" customWidth="1"/>
    <col min="1041" max="1041" width="21.08984375" style="737" bestFit="1" customWidth="1"/>
    <col min="1042" max="1042" width="22.6328125" style="737" customWidth="1"/>
    <col min="1043" max="1043" width="22" style="737" customWidth="1"/>
    <col min="1044" max="1044" width="23.453125" style="737" bestFit="1" customWidth="1"/>
    <col min="1045" max="1047" width="9.08984375" style="737"/>
    <col min="1048" max="1048" width="11.36328125" style="737" customWidth="1"/>
    <col min="1049" max="1049" width="10.36328125" style="737" customWidth="1"/>
    <col min="1050" max="1257" width="9.08984375" style="737"/>
    <col min="1258" max="1258" width="2.90625" style="737" customWidth="1"/>
    <col min="1259" max="1259" width="13.08984375" style="737" customWidth="1"/>
    <col min="1260" max="1260" width="60.36328125" style="737" customWidth="1"/>
    <col min="1261" max="1265" width="10.90625" style="737" bestFit="1" customWidth="1"/>
    <col min="1266" max="1266" width="11.90625" style="737" bestFit="1" customWidth="1"/>
    <col min="1267" max="1267" width="14.36328125" style="737" bestFit="1" customWidth="1"/>
    <col min="1268" max="1268" width="17.453125" style="737" bestFit="1" customWidth="1"/>
    <col min="1269" max="1271" width="17.54296875" style="737" bestFit="1" customWidth="1"/>
    <col min="1272" max="1278" width="21" style="737" bestFit="1" customWidth="1"/>
    <col min="1279" max="1286" width="21.08984375" style="737" bestFit="1" customWidth="1"/>
    <col min="1287" max="1287" width="22.6328125" style="737" customWidth="1"/>
    <col min="1288" max="1288" width="22" style="737" customWidth="1"/>
    <col min="1289" max="1289" width="22.6328125" style="737" customWidth="1"/>
    <col min="1290" max="1295" width="21.08984375" style="737" bestFit="1" customWidth="1"/>
    <col min="1296" max="1296" width="19.54296875" style="737" customWidth="1"/>
    <col min="1297" max="1297" width="21.08984375" style="737" bestFit="1" customWidth="1"/>
    <col min="1298" max="1298" width="22.6328125" style="737" customWidth="1"/>
    <col min="1299" max="1299" width="22" style="737" customWidth="1"/>
    <col min="1300" max="1300" width="23.453125" style="737" bestFit="1" customWidth="1"/>
    <col min="1301" max="1303" width="9.08984375" style="737"/>
    <col min="1304" max="1304" width="11.36328125" style="737" customWidth="1"/>
    <col min="1305" max="1305" width="10.36328125" style="737" customWidth="1"/>
    <col min="1306" max="1513" width="9.08984375" style="737"/>
    <col min="1514" max="1514" width="2.90625" style="737" customWidth="1"/>
    <col min="1515" max="1515" width="13.08984375" style="737" customWidth="1"/>
    <col min="1516" max="1516" width="60.36328125" style="737" customWidth="1"/>
    <col min="1517" max="1521" width="10.90625" style="737" bestFit="1" customWidth="1"/>
    <col min="1522" max="1522" width="11.90625" style="737" bestFit="1" customWidth="1"/>
    <col min="1523" max="1523" width="14.36328125" style="737" bestFit="1" customWidth="1"/>
    <col min="1524" max="1524" width="17.453125" style="737" bestFit="1" customWidth="1"/>
    <col min="1525" max="1527" width="17.54296875" style="737" bestFit="1" customWidth="1"/>
    <col min="1528" max="1534" width="21" style="737" bestFit="1" customWidth="1"/>
    <col min="1535" max="1542" width="21.08984375" style="737" bestFit="1" customWidth="1"/>
    <col min="1543" max="1543" width="22.6328125" style="737" customWidth="1"/>
    <col min="1544" max="1544" width="22" style="737" customWidth="1"/>
    <col min="1545" max="1545" width="22.6328125" style="737" customWidth="1"/>
    <col min="1546" max="1551" width="21.08984375" style="737" bestFit="1" customWidth="1"/>
    <col min="1552" max="1552" width="19.54296875" style="737" customWidth="1"/>
    <col min="1553" max="1553" width="21.08984375" style="737" bestFit="1" customWidth="1"/>
    <col min="1554" max="1554" width="22.6328125" style="737" customWidth="1"/>
    <col min="1555" max="1555" width="22" style="737" customWidth="1"/>
    <col min="1556" max="1556" width="23.453125" style="737" bestFit="1" customWidth="1"/>
    <col min="1557" max="1559" width="9.08984375" style="737"/>
    <col min="1560" max="1560" width="11.36328125" style="737" customWidth="1"/>
    <col min="1561" max="1561" width="10.36328125" style="737" customWidth="1"/>
    <col min="1562" max="1769" width="9.08984375" style="737"/>
    <col min="1770" max="1770" width="2.90625" style="737" customWidth="1"/>
    <col min="1771" max="1771" width="13.08984375" style="737" customWidth="1"/>
    <col min="1772" max="1772" width="60.36328125" style="737" customWidth="1"/>
    <col min="1773" max="1777" width="10.90625" style="737" bestFit="1" customWidth="1"/>
    <col min="1778" max="1778" width="11.90625" style="737" bestFit="1" customWidth="1"/>
    <col min="1779" max="1779" width="14.36328125" style="737" bestFit="1" customWidth="1"/>
    <col min="1780" max="1780" width="17.453125" style="737" bestFit="1" customWidth="1"/>
    <col min="1781" max="1783" width="17.54296875" style="737" bestFit="1" customWidth="1"/>
    <col min="1784" max="1790" width="21" style="737" bestFit="1" customWidth="1"/>
    <col min="1791" max="1798" width="21.08984375" style="737" bestFit="1" customWidth="1"/>
    <col min="1799" max="1799" width="22.6328125" style="737" customWidth="1"/>
    <col min="1800" max="1800" width="22" style="737" customWidth="1"/>
    <col min="1801" max="1801" width="22.6328125" style="737" customWidth="1"/>
    <col min="1802" max="1807" width="21.08984375" style="737" bestFit="1" customWidth="1"/>
    <col min="1808" max="1808" width="19.54296875" style="737" customWidth="1"/>
    <col min="1809" max="1809" width="21.08984375" style="737" bestFit="1" customWidth="1"/>
    <col min="1810" max="1810" width="22.6328125" style="737" customWidth="1"/>
    <col min="1811" max="1811" width="22" style="737" customWidth="1"/>
    <col min="1812" max="1812" width="23.453125" style="737" bestFit="1" customWidth="1"/>
    <col min="1813" max="1815" width="9.08984375" style="737"/>
    <col min="1816" max="1816" width="11.36328125" style="737" customWidth="1"/>
    <col min="1817" max="1817" width="10.36328125" style="737" customWidth="1"/>
    <col min="1818" max="2025" width="9.08984375" style="737"/>
    <col min="2026" max="2026" width="2.90625" style="737" customWidth="1"/>
    <col min="2027" max="2027" width="13.08984375" style="737" customWidth="1"/>
    <col min="2028" max="2028" width="60.36328125" style="737" customWidth="1"/>
    <col min="2029" max="2033" width="10.90625" style="737" bestFit="1" customWidth="1"/>
    <col min="2034" max="2034" width="11.90625" style="737" bestFit="1" customWidth="1"/>
    <col min="2035" max="2035" width="14.36328125" style="737" bestFit="1" customWidth="1"/>
    <col min="2036" max="2036" width="17.453125" style="737" bestFit="1" customWidth="1"/>
    <col min="2037" max="2039" width="17.54296875" style="737" bestFit="1" customWidth="1"/>
    <col min="2040" max="2046" width="21" style="737" bestFit="1" customWidth="1"/>
    <col min="2047" max="2054" width="21.08984375" style="737" bestFit="1" customWidth="1"/>
    <col min="2055" max="2055" width="22.6328125" style="737" customWidth="1"/>
    <col min="2056" max="2056" width="22" style="737" customWidth="1"/>
    <col min="2057" max="2057" width="22.6328125" style="737" customWidth="1"/>
    <col min="2058" max="2063" width="21.08984375" style="737" bestFit="1" customWidth="1"/>
    <col min="2064" max="2064" width="19.54296875" style="737" customWidth="1"/>
    <col min="2065" max="2065" width="21.08984375" style="737" bestFit="1" customWidth="1"/>
    <col min="2066" max="2066" width="22.6328125" style="737" customWidth="1"/>
    <col min="2067" max="2067" width="22" style="737" customWidth="1"/>
    <col min="2068" max="2068" width="23.453125" style="737" bestFit="1" customWidth="1"/>
    <col min="2069" max="2071" width="9.08984375" style="737"/>
    <col min="2072" max="2072" width="11.36328125" style="737" customWidth="1"/>
    <col min="2073" max="2073" width="10.36328125" style="737" customWidth="1"/>
    <col min="2074" max="2281" width="9.08984375" style="737"/>
    <col min="2282" max="2282" width="2.90625" style="737" customWidth="1"/>
    <col min="2283" max="2283" width="13.08984375" style="737" customWidth="1"/>
    <col min="2284" max="2284" width="60.36328125" style="737" customWidth="1"/>
    <col min="2285" max="2289" width="10.90625" style="737" bestFit="1" customWidth="1"/>
    <col min="2290" max="2290" width="11.90625" style="737" bestFit="1" customWidth="1"/>
    <col min="2291" max="2291" width="14.36328125" style="737" bestFit="1" customWidth="1"/>
    <col min="2292" max="2292" width="17.453125" style="737" bestFit="1" customWidth="1"/>
    <col min="2293" max="2295" width="17.54296875" style="737" bestFit="1" customWidth="1"/>
    <col min="2296" max="2302" width="21" style="737" bestFit="1" customWidth="1"/>
    <col min="2303" max="2310" width="21.08984375" style="737" bestFit="1" customWidth="1"/>
    <col min="2311" max="2311" width="22.6328125" style="737" customWidth="1"/>
    <col min="2312" max="2312" width="22" style="737" customWidth="1"/>
    <col min="2313" max="2313" width="22.6328125" style="737" customWidth="1"/>
    <col min="2314" max="2319" width="21.08984375" style="737" bestFit="1" customWidth="1"/>
    <col min="2320" max="2320" width="19.54296875" style="737" customWidth="1"/>
    <col min="2321" max="2321" width="21.08984375" style="737" bestFit="1" customWidth="1"/>
    <col min="2322" max="2322" width="22.6328125" style="737" customWidth="1"/>
    <col min="2323" max="2323" width="22" style="737" customWidth="1"/>
    <col min="2324" max="2324" width="23.453125" style="737" bestFit="1" customWidth="1"/>
    <col min="2325" max="2327" width="9.08984375" style="737"/>
    <col min="2328" max="2328" width="11.36328125" style="737" customWidth="1"/>
    <col min="2329" max="2329" width="10.36328125" style="737" customWidth="1"/>
    <col min="2330" max="2537" width="9.08984375" style="737"/>
    <col min="2538" max="2538" width="2.90625" style="737" customWidth="1"/>
    <col min="2539" max="2539" width="13.08984375" style="737" customWidth="1"/>
    <col min="2540" max="2540" width="60.36328125" style="737" customWidth="1"/>
    <col min="2541" max="2545" width="10.90625" style="737" bestFit="1" customWidth="1"/>
    <col min="2546" max="2546" width="11.90625" style="737" bestFit="1" customWidth="1"/>
    <col min="2547" max="2547" width="14.36328125" style="737" bestFit="1" customWidth="1"/>
    <col min="2548" max="2548" width="17.453125" style="737" bestFit="1" customWidth="1"/>
    <col min="2549" max="2551" width="17.54296875" style="737" bestFit="1" customWidth="1"/>
    <col min="2552" max="2558" width="21" style="737" bestFit="1" customWidth="1"/>
    <col min="2559" max="2566" width="21.08984375" style="737" bestFit="1" customWidth="1"/>
    <col min="2567" max="2567" width="22.6328125" style="737" customWidth="1"/>
    <col min="2568" max="2568" width="22" style="737" customWidth="1"/>
    <col min="2569" max="2569" width="22.6328125" style="737" customWidth="1"/>
    <col min="2570" max="2575" width="21.08984375" style="737" bestFit="1" customWidth="1"/>
    <col min="2576" max="2576" width="19.54296875" style="737" customWidth="1"/>
    <col min="2577" max="2577" width="21.08984375" style="737" bestFit="1" customWidth="1"/>
    <col min="2578" max="2578" width="22.6328125" style="737" customWidth="1"/>
    <col min="2579" max="2579" width="22" style="737" customWidth="1"/>
    <col min="2580" max="2580" width="23.453125" style="737" bestFit="1" customWidth="1"/>
    <col min="2581" max="2583" width="9.08984375" style="737"/>
    <col min="2584" max="2584" width="11.36328125" style="737" customWidth="1"/>
    <col min="2585" max="2585" width="10.36328125" style="737" customWidth="1"/>
    <col min="2586" max="2793" width="9.08984375" style="737"/>
    <col min="2794" max="2794" width="2.90625" style="737" customWidth="1"/>
    <col min="2795" max="2795" width="13.08984375" style="737" customWidth="1"/>
    <col min="2796" max="2796" width="60.36328125" style="737" customWidth="1"/>
    <col min="2797" max="2801" width="10.90625" style="737" bestFit="1" customWidth="1"/>
    <col min="2802" max="2802" width="11.90625" style="737" bestFit="1" customWidth="1"/>
    <col min="2803" max="2803" width="14.36328125" style="737" bestFit="1" customWidth="1"/>
    <col min="2804" max="2804" width="17.453125" style="737" bestFit="1" customWidth="1"/>
    <col min="2805" max="2807" width="17.54296875" style="737" bestFit="1" customWidth="1"/>
    <col min="2808" max="2814" width="21" style="737" bestFit="1" customWidth="1"/>
    <col min="2815" max="2822" width="21.08984375" style="737" bestFit="1" customWidth="1"/>
    <col min="2823" max="2823" width="22.6328125" style="737" customWidth="1"/>
    <col min="2824" max="2824" width="22" style="737" customWidth="1"/>
    <col min="2825" max="2825" width="22.6328125" style="737" customWidth="1"/>
    <col min="2826" max="2831" width="21.08984375" style="737" bestFit="1" customWidth="1"/>
    <col min="2832" max="2832" width="19.54296875" style="737" customWidth="1"/>
    <col min="2833" max="2833" width="21.08984375" style="737" bestFit="1" customWidth="1"/>
    <col min="2834" max="2834" width="22.6328125" style="737" customWidth="1"/>
    <col min="2835" max="2835" width="22" style="737" customWidth="1"/>
    <col min="2836" max="2836" width="23.453125" style="737" bestFit="1" customWidth="1"/>
    <col min="2837" max="2839" width="9.08984375" style="737"/>
    <col min="2840" max="2840" width="11.36328125" style="737" customWidth="1"/>
    <col min="2841" max="2841" width="10.36328125" style="737" customWidth="1"/>
    <col min="2842" max="3049" width="9.08984375" style="737"/>
    <col min="3050" max="3050" width="2.90625" style="737" customWidth="1"/>
    <col min="3051" max="3051" width="13.08984375" style="737" customWidth="1"/>
    <col min="3052" max="3052" width="60.36328125" style="737" customWidth="1"/>
    <col min="3053" max="3057" width="10.90625" style="737" bestFit="1" customWidth="1"/>
    <col min="3058" max="3058" width="11.90625" style="737" bestFit="1" customWidth="1"/>
    <col min="3059" max="3059" width="14.36328125" style="737" bestFit="1" customWidth="1"/>
    <col min="3060" max="3060" width="17.453125" style="737" bestFit="1" customWidth="1"/>
    <col min="3061" max="3063" width="17.54296875" style="737" bestFit="1" customWidth="1"/>
    <col min="3064" max="3070" width="21" style="737" bestFit="1" customWidth="1"/>
    <col min="3071" max="3078" width="21.08984375" style="737" bestFit="1" customWidth="1"/>
    <col min="3079" max="3079" width="22.6328125" style="737" customWidth="1"/>
    <col min="3080" max="3080" width="22" style="737" customWidth="1"/>
    <col min="3081" max="3081" width="22.6328125" style="737" customWidth="1"/>
    <col min="3082" max="3087" width="21.08984375" style="737" bestFit="1" customWidth="1"/>
    <col min="3088" max="3088" width="19.54296875" style="737" customWidth="1"/>
    <col min="3089" max="3089" width="21.08984375" style="737" bestFit="1" customWidth="1"/>
    <col min="3090" max="3090" width="22.6328125" style="737" customWidth="1"/>
    <col min="3091" max="3091" width="22" style="737" customWidth="1"/>
    <col min="3092" max="3092" width="23.453125" style="737" bestFit="1" customWidth="1"/>
    <col min="3093" max="3095" width="9.08984375" style="737"/>
    <col min="3096" max="3096" width="11.36328125" style="737" customWidth="1"/>
    <col min="3097" max="3097" width="10.36328125" style="737" customWidth="1"/>
    <col min="3098" max="3305" width="9.08984375" style="737"/>
    <col min="3306" max="3306" width="2.90625" style="737" customWidth="1"/>
    <col min="3307" max="3307" width="13.08984375" style="737" customWidth="1"/>
    <col min="3308" max="3308" width="60.36328125" style="737" customWidth="1"/>
    <col min="3309" max="3313" width="10.90625" style="737" bestFit="1" customWidth="1"/>
    <col min="3314" max="3314" width="11.90625" style="737" bestFit="1" customWidth="1"/>
    <col min="3315" max="3315" width="14.36328125" style="737" bestFit="1" customWidth="1"/>
    <col min="3316" max="3316" width="17.453125" style="737" bestFit="1" customWidth="1"/>
    <col min="3317" max="3319" width="17.54296875" style="737" bestFit="1" customWidth="1"/>
    <col min="3320" max="3326" width="21" style="737" bestFit="1" customWidth="1"/>
    <col min="3327" max="3334" width="21.08984375" style="737" bestFit="1" customWidth="1"/>
    <col min="3335" max="3335" width="22.6328125" style="737" customWidth="1"/>
    <col min="3336" max="3336" width="22" style="737" customWidth="1"/>
    <col min="3337" max="3337" width="22.6328125" style="737" customWidth="1"/>
    <col min="3338" max="3343" width="21.08984375" style="737" bestFit="1" customWidth="1"/>
    <col min="3344" max="3344" width="19.54296875" style="737" customWidth="1"/>
    <col min="3345" max="3345" width="21.08984375" style="737" bestFit="1" customWidth="1"/>
    <col min="3346" max="3346" width="22.6328125" style="737" customWidth="1"/>
    <col min="3347" max="3347" width="22" style="737" customWidth="1"/>
    <col min="3348" max="3348" width="23.453125" style="737" bestFit="1" customWidth="1"/>
    <col min="3349" max="3351" width="9.08984375" style="737"/>
    <col min="3352" max="3352" width="11.36328125" style="737" customWidth="1"/>
    <col min="3353" max="3353" width="10.36328125" style="737" customWidth="1"/>
    <col min="3354" max="3561" width="9.08984375" style="737"/>
    <col min="3562" max="3562" width="2.90625" style="737" customWidth="1"/>
    <col min="3563" max="3563" width="13.08984375" style="737" customWidth="1"/>
    <col min="3564" max="3564" width="60.36328125" style="737" customWidth="1"/>
    <col min="3565" max="3569" width="10.90625" style="737" bestFit="1" customWidth="1"/>
    <col min="3570" max="3570" width="11.90625" style="737" bestFit="1" customWidth="1"/>
    <col min="3571" max="3571" width="14.36328125" style="737" bestFit="1" customWidth="1"/>
    <col min="3572" max="3572" width="17.453125" style="737" bestFit="1" customWidth="1"/>
    <col min="3573" max="3575" width="17.54296875" style="737" bestFit="1" customWidth="1"/>
    <col min="3576" max="3582" width="21" style="737" bestFit="1" customWidth="1"/>
    <col min="3583" max="3590" width="21.08984375" style="737" bestFit="1" customWidth="1"/>
    <col min="3591" max="3591" width="22.6328125" style="737" customWidth="1"/>
    <col min="3592" max="3592" width="22" style="737" customWidth="1"/>
    <col min="3593" max="3593" width="22.6328125" style="737" customWidth="1"/>
    <col min="3594" max="3599" width="21.08984375" style="737" bestFit="1" customWidth="1"/>
    <col min="3600" max="3600" width="19.54296875" style="737" customWidth="1"/>
    <col min="3601" max="3601" width="21.08984375" style="737" bestFit="1" customWidth="1"/>
    <col min="3602" max="3602" width="22.6328125" style="737" customWidth="1"/>
    <col min="3603" max="3603" width="22" style="737" customWidth="1"/>
    <col min="3604" max="3604" width="23.453125" style="737" bestFit="1" customWidth="1"/>
    <col min="3605" max="3607" width="9.08984375" style="737"/>
    <col min="3608" max="3608" width="11.36328125" style="737" customWidth="1"/>
    <col min="3609" max="3609" width="10.36328125" style="737" customWidth="1"/>
    <col min="3610" max="3817" width="9.08984375" style="737"/>
    <col min="3818" max="3818" width="2.90625" style="737" customWidth="1"/>
    <col min="3819" max="3819" width="13.08984375" style="737" customWidth="1"/>
    <col min="3820" max="3820" width="60.36328125" style="737" customWidth="1"/>
    <col min="3821" max="3825" width="10.90625" style="737" bestFit="1" customWidth="1"/>
    <col min="3826" max="3826" width="11.90625" style="737" bestFit="1" customWidth="1"/>
    <col min="3827" max="3827" width="14.36328125" style="737" bestFit="1" customWidth="1"/>
    <col min="3828" max="3828" width="17.453125" style="737" bestFit="1" customWidth="1"/>
    <col min="3829" max="3831" width="17.54296875" style="737" bestFit="1" customWidth="1"/>
    <col min="3832" max="3838" width="21" style="737" bestFit="1" customWidth="1"/>
    <col min="3839" max="3846" width="21.08984375" style="737" bestFit="1" customWidth="1"/>
    <col min="3847" max="3847" width="22.6328125" style="737" customWidth="1"/>
    <col min="3848" max="3848" width="22" style="737" customWidth="1"/>
    <col min="3849" max="3849" width="22.6328125" style="737" customWidth="1"/>
    <col min="3850" max="3855" width="21.08984375" style="737" bestFit="1" customWidth="1"/>
    <col min="3856" max="3856" width="19.54296875" style="737" customWidth="1"/>
    <col min="3857" max="3857" width="21.08984375" style="737" bestFit="1" customWidth="1"/>
    <col min="3858" max="3858" width="22.6328125" style="737" customWidth="1"/>
    <col min="3859" max="3859" width="22" style="737" customWidth="1"/>
    <col min="3860" max="3860" width="23.453125" style="737" bestFit="1" customWidth="1"/>
    <col min="3861" max="3863" width="9.08984375" style="737"/>
    <col min="3864" max="3864" width="11.36328125" style="737" customWidth="1"/>
    <col min="3865" max="3865" width="10.36328125" style="737" customWidth="1"/>
    <col min="3866" max="4073" width="9.08984375" style="737"/>
    <col min="4074" max="4074" width="2.90625" style="737" customWidth="1"/>
    <col min="4075" max="4075" width="13.08984375" style="737" customWidth="1"/>
    <col min="4076" max="4076" width="60.36328125" style="737" customWidth="1"/>
    <col min="4077" max="4081" width="10.90625" style="737" bestFit="1" customWidth="1"/>
    <col min="4082" max="4082" width="11.90625" style="737" bestFit="1" customWidth="1"/>
    <col min="4083" max="4083" width="14.36328125" style="737" bestFit="1" customWidth="1"/>
    <col min="4084" max="4084" width="17.453125" style="737" bestFit="1" customWidth="1"/>
    <col min="4085" max="4087" width="17.54296875" style="737" bestFit="1" customWidth="1"/>
    <col min="4088" max="4094" width="21" style="737" bestFit="1" customWidth="1"/>
    <col min="4095" max="4102" width="21.08984375" style="737" bestFit="1" customWidth="1"/>
    <col min="4103" max="4103" width="22.6328125" style="737" customWidth="1"/>
    <col min="4104" max="4104" width="22" style="737" customWidth="1"/>
    <col min="4105" max="4105" width="22.6328125" style="737" customWidth="1"/>
    <col min="4106" max="4111" width="21.08984375" style="737" bestFit="1" customWidth="1"/>
    <col min="4112" max="4112" width="19.54296875" style="737" customWidth="1"/>
    <col min="4113" max="4113" width="21.08984375" style="737" bestFit="1" customWidth="1"/>
    <col min="4114" max="4114" width="22.6328125" style="737" customWidth="1"/>
    <col min="4115" max="4115" width="22" style="737" customWidth="1"/>
    <col min="4116" max="4116" width="23.453125" style="737" bestFit="1" customWidth="1"/>
    <col min="4117" max="4119" width="9.08984375" style="737"/>
    <col min="4120" max="4120" width="11.36328125" style="737" customWidth="1"/>
    <col min="4121" max="4121" width="10.36328125" style="737" customWidth="1"/>
    <col min="4122" max="4329" width="9.08984375" style="737"/>
    <col min="4330" max="4330" width="2.90625" style="737" customWidth="1"/>
    <col min="4331" max="4331" width="13.08984375" style="737" customWidth="1"/>
    <col min="4332" max="4332" width="60.36328125" style="737" customWidth="1"/>
    <col min="4333" max="4337" width="10.90625" style="737" bestFit="1" customWidth="1"/>
    <col min="4338" max="4338" width="11.90625" style="737" bestFit="1" customWidth="1"/>
    <col min="4339" max="4339" width="14.36328125" style="737" bestFit="1" customWidth="1"/>
    <col min="4340" max="4340" width="17.453125" style="737" bestFit="1" customWidth="1"/>
    <col min="4341" max="4343" width="17.54296875" style="737" bestFit="1" customWidth="1"/>
    <col min="4344" max="4350" width="21" style="737" bestFit="1" customWidth="1"/>
    <col min="4351" max="4358" width="21.08984375" style="737" bestFit="1" customWidth="1"/>
    <col min="4359" max="4359" width="22.6328125" style="737" customWidth="1"/>
    <col min="4360" max="4360" width="22" style="737" customWidth="1"/>
    <col min="4361" max="4361" width="22.6328125" style="737" customWidth="1"/>
    <col min="4362" max="4367" width="21.08984375" style="737" bestFit="1" customWidth="1"/>
    <col min="4368" max="4368" width="19.54296875" style="737" customWidth="1"/>
    <col min="4369" max="4369" width="21.08984375" style="737" bestFit="1" customWidth="1"/>
    <col min="4370" max="4370" width="22.6328125" style="737" customWidth="1"/>
    <col min="4371" max="4371" width="22" style="737" customWidth="1"/>
    <col min="4372" max="4372" width="23.453125" style="737" bestFit="1" customWidth="1"/>
    <col min="4373" max="4375" width="9.08984375" style="737"/>
    <col min="4376" max="4376" width="11.36328125" style="737" customWidth="1"/>
    <col min="4377" max="4377" width="10.36328125" style="737" customWidth="1"/>
    <col min="4378" max="4585" width="9.08984375" style="737"/>
    <col min="4586" max="4586" width="2.90625" style="737" customWidth="1"/>
    <col min="4587" max="4587" width="13.08984375" style="737" customWidth="1"/>
    <col min="4588" max="4588" width="60.36328125" style="737" customWidth="1"/>
    <col min="4589" max="4593" width="10.90625" style="737" bestFit="1" customWidth="1"/>
    <col min="4594" max="4594" width="11.90625" style="737" bestFit="1" customWidth="1"/>
    <col min="4595" max="4595" width="14.36328125" style="737" bestFit="1" customWidth="1"/>
    <col min="4596" max="4596" width="17.453125" style="737" bestFit="1" customWidth="1"/>
    <col min="4597" max="4599" width="17.54296875" style="737" bestFit="1" customWidth="1"/>
    <col min="4600" max="4606" width="21" style="737" bestFit="1" customWidth="1"/>
    <col min="4607" max="4614" width="21.08984375" style="737" bestFit="1" customWidth="1"/>
    <col min="4615" max="4615" width="22.6328125" style="737" customWidth="1"/>
    <col min="4616" max="4616" width="22" style="737" customWidth="1"/>
    <col min="4617" max="4617" width="22.6328125" style="737" customWidth="1"/>
    <col min="4618" max="4623" width="21.08984375" style="737" bestFit="1" customWidth="1"/>
    <col min="4624" max="4624" width="19.54296875" style="737" customWidth="1"/>
    <col min="4625" max="4625" width="21.08984375" style="737" bestFit="1" customWidth="1"/>
    <col min="4626" max="4626" width="22.6328125" style="737" customWidth="1"/>
    <col min="4627" max="4627" width="22" style="737" customWidth="1"/>
    <col min="4628" max="4628" width="23.453125" style="737" bestFit="1" customWidth="1"/>
    <col min="4629" max="4631" width="9.08984375" style="737"/>
    <col min="4632" max="4632" width="11.36328125" style="737" customWidth="1"/>
    <col min="4633" max="4633" width="10.36328125" style="737" customWidth="1"/>
    <col min="4634" max="4841" width="9.08984375" style="737"/>
    <col min="4842" max="4842" width="2.90625" style="737" customWidth="1"/>
    <col min="4843" max="4843" width="13.08984375" style="737" customWidth="1"/>
    <col min="4844" max="4844" width="60.36328125" style="737" customWidth="1"/>
    <col min="4845" max="4849" width="10.90625" style="737" bestFit="1" customWidth="1"/>
    <col min="4850" max="4850" width="11.90625" style="737" bestFit="1" customWidth="1"/>
    <col min="4851" max="4851" width="14.36328125" style="737" bestFit="1" customWidth="1"/>
    <col min="4852" max="4852" width="17.453125" style="737" bestFit="1" customWidth="1"/>
    <col min="4853" max="4855" width="17.54296875" style="737" bestFit="1" customWidth="1"/>
    <col min="4856" max="4862" width="21" style="737" bestFit="1" customWidth="1"/>
    <col min="4863" max="4870" width="21.08984375" style="737" bestFit="1" customWidth="1"/>
    <col min="4871" max="4871" width="22.6328125" style="737" customWidth="1"/>
    <col min="4872" max="4872" width="22" style="737" customWidth="1"/>
    <col min="4873" max="4873" width="22.6328125" style="737" customWidth="1"/>
    <col min="4874" max="4879" width="21.08984375" style="737" bestFit="1" customWidth="1"/>
    <col min="4880" max="4880" width="19.54296875" style="737" customWidth="1"/>
    <col min="4881" max="4881" width="21.08984375" style="737" bestFit="1" customWidth="1"/>
    <col min="4882" max="4882" width="22.6328125" style="737" customWidth="1"/>
    <col min="4883" max="4883" width="22" style="737" customWidth="1"/>
    <col min="4884" max="4884" width="23.453125" style="737" bestFit="1" customWidth="1"/>
    <col min="4885" max="4887" width="9.08984375" style="737"/>
    <col min="4888" max="4888" width="11.36328125" style="737" customWidth="1"/>
    <col min="4889" max="4889" width="10.36328125" style="737" customWidth="1"/>
    <col min="4890" max="5097" width="9.08984375" style="737"/>
    <col min="5098" max="5098" width="2.90625" style="737" customWidth="1"/>
    <col min="5099" max="5099" width="13.08984375" style="737" customWidth="1"/>
    <col min="5100" max="5100" width="60.36328125" style="737" customWidth="1"/>
    <col min="5101" max="5105" width="10.90625" style="737" bestFit="1" customWidth="1"/>
    <col min="5106" max="5106" width="11.90625" style="737" bestFit="1" customWidth="1"/>
    <col min="5107" max="5107" width="14.36328125" style="737" bestFit="1" customWidth="1"/>
    <col min="5108" max="5108" width="17.453125" style="737" bestFit="1" customWidth="1"/>
    <col min="5109" max="5111" width="17.54296875" style="737" bestFit="1" customWidth="1"/>
    <col min="5112" max="5118" width="21" style="737" bestFit="1" customWidth="1"/>
    <col min="5119" max="5126" width="21.08984375" style="737" bestFit="1" customWidth="1"/>
    <col min="5127" max="5127" width="22.6328125" style="737" customWidth="1"/>
    <col min="5128" max="5128" width="22" style="737" customWidth="1"/>
    <col min="5129" max="5129" width="22.6328125" style="737" customWidth="1"/>
    <col min="5130" max="5135" width="21.08984375" style="737" bestFit="1" customWidth="1"/>
    <col min="5136" max="5136" width="19.54296875" style="737" customWidth="1"/>
    <col min="5137" max="5137" width="21.08984375" style="737" bestFit="1" customWidth="1"/>
    <col min="5138" max="5138" width="22.6328125" style="737" customWidth="1"/>
    <col min="5139" max="5139" width="22" style="737" customWidth="1"/>
    <col min="5140" max="5140" width="23.453125" style="737" bestFit="1" customWidth="1"/>
    <col min="5141" max="5143" width="9.08984375" style="737"/>
    <col min="5144" max="5144" width="11.36328125" style="737" customWidth="1"/>
    <col min="5145" max="5145" width="10.36328125" style="737" customWidth="1"/>
    <col min="5146" max="5353" width="9.08984375" style="737"/>
    <col min="5354" max="5354" width="2.90625" style="737" customWidth="1"/>
    <col min="5355" max="5355" width="13.08984375" style="737" customWidth="1"/>
    <col min="5356" max="5356" width="60.36328125" style="737" customWidth="1"/>
    <col min="5357" max="5361" width="10.90625" style="737" bestFit="1" customWidth="1"/>
    <col min="5362" max="5362" width="11.90625" style="737" bestFit="1" customWidth="1"/>
    <col min="5363" max="5363" width="14.36328125" style="737" bestFit="1" customWidth="1"/>
    <col min="5364" max="5364" width="17.453125" style="737" bestFit="1" customWidth="1"/>
    <col min="5365" max="5367" width="17.54296875" style="737" bestFit="1" customWidth="1"/>
    <col min="5368" max="5374" width="21" style="737" bestFit="1" customWidth="1"/>
    <col min="5375" max="5382" width="21.08984375" style="737" bestFit="1" customWidth="1"/>
    <col min="5383" max="5383" width="22.6328125" style="737" customWidth="1"/>
    <col min="5384" max="5384" width="22" style="737" customWidth="1"/>
    <col min="5385" max="5385" width="22.6328125" style="737" customWidth="1"/>
    <col min="5386" max="5391" width="21.08984375" style="737" bestFit="1" customWidth="1"/>
    <col min="5392" max="5392" width="19.54296875" style="737" customWidth="1"/>
    <col min="5393" max="5393" width="21.08984375" style="737" bestFit="1" customWidth="1"/>
    <col min="5394" max="5394" width="22.6328125" style="737" customWidth="1"/>
    <col min="5395" max="5395" width="22" style="737" customWidth="1"/>
    <col min="5396" max="5396" width="23.453125" style="737" bestFit="1" customWidth="1"/>
    <col min="5397" max="5399" width="9.08984375" style="737"/>
    <col min="5400" max="5400" width="11.36328125" style="737" customWidth="1"/>
    <col min="5401" max="5401" width="10.36328125" style="737" customWidth="1"/>
    <col min="5402" max="5609" width="9.08984375" style="737"/>
    <col min="5610" max="5610" width="2.90625" style="737" customWidth="1"/>
    <col min="5611" max="5611" width="13.08984375" style="737" customWidth="1"/>
    <col min="5612" max="5612" width="60.36328125" style="737" customWidth="1"/>
    <col min="5613" max="5617" width="10.90625" style="737" bestFit="1" customWidth="1"/>
    <col min="5618" max="5618" width="11.90625" style="737" bestFit="1" customWidth="1"/>
    <col min="5619" max="5619" width="14.36328125" style="737" bestFit="1" customWidth="1"/>
    <col min="5620" max="5620" width="17.453125" style="737" bestFit="1" customWidth="1"/>
    <col min="5621" max="5623" width="17.54296875" style="737" bestFit="1" customWidth="1"/>
    <col min="5624" max="5630" width="21" style="737" bestFit="1" customWidth="1"/>
    <col min="5631" max="5638" width="21.08984375" style="737" bestFit="1" customWidth="1"/>
    <col min="5639" max="5639" width="22.6328125" style="737" customWidth="1"/>
    <col min="5640" max="5640" width="22" style="737" customWidth="1"/>
    <col min="5641" max="5641" width="22.6328125" style="737" customWidth="1"/>
    <col min="5642" max="5647" width="21.08984375" style="737" bestFit="1" customWidth="1"/>
    <col min="5648" max="5648" width="19.54296875" style="737" customWidth="1"/>
    <col min="5649" max="5649" width="21.08984375" style="737" bestFit="1" customWidth="1"/>
    <col min="5650" max="5650" width="22.6328125" style="737" customWidth="1"/>
    <col min="5651" max="5651" width="22" style="737" customWidth="1"/>
    <col min="5652" max="5652" width="23.453125" style="737" bestFit="1" customWidth="1"/>
    <col min="5653" max="5655" width="9.08984375" style="737"/>
    <col min="5656" max="5656" width="11.36328125" style="737" customWidth="1"/>
    <col min="5657" max="5657" width="10.36328125" style="737" customWidth="1"/>
    <col min="5658" max="5865" width="9.08984375" style="737"/>
    <col min="5866" max="5866" width="2.90625" style="737" customWidth="1"/>
    <col min="5867" max="5867" width="13.08984375" style="737" customWidth="1"/>
    <col min="5868" max="5868" width="60.36328125" style="737" customWidth="1"/>
    <col min="5869" max="5873" width="10.90625" style="737" bestFit="1" customWidth="1"/>
    <col min="5874" max="5874" width="11.90625" style="737" bestFit="1" customWidth="1"/>
    <col min="5875" max="5875" width="14.36328125" style="737" bestFit="1" customWidth="1"/>
    <col min="5876" max="5876" width="17.453125" style="737" bestFit="1" customWidth="1"/>
    <col min="5877" max="5879" width="17.54296875" style="737" bestFit="1" customWidth="1"/>
    <col min="5880" max="5886" width="21" style="737" bestFit="1" customWidth="1"/>
    <col min="5887" max="5894" width="21.08984375" style="737" bestFit="1" customWidth="1"/>
    <col min="5895" max="5895" width="22.6328125" style="737" customWidth="1"/>
    <col min="5896" max="5896" width="22" style="737" customWidth="1"/>
    <col min="5897" max="5897" width="22.6328125" style="737" customWidth="1"/>
    <col min="5898" max="5903" width="21.08984375" style="737" bestFit="1" customWidth="1"/>
    <col min="5904" max="5904" width="19.54296875" style="737" customWidth="1"/>
    <col min="5905" max="5905" width="21.08984375" style="737" bestFit="1" customWidth="1"/>
    <col min="5906" max="5906" width="22.6328125" style="737" customWidth="1"/>
    <col min="5907" max="5907" width="22" style="737" customWidth="1"/>
    <col min="5908" max="5908" width="23.453125" style="737" bestFit="1" customWidth="1"/>
    <col min="5909" max="5911" width="9.08984375" style="737"/>
    <col min="5912" max="5912" width="11.36328125" style="737" customWidth="1"/>
    <col min="5913" max="5913" width="10.36328125" style="737" customWidth="1"/>
    <col min="5914" max="6121" width="9.08984375" style="737"/>
    <col min="6122" max="6122" width="2.90625" style="737" customWidth="1"/>
    <col min="6123" max="6123" width="13.08984375" style="737" customWidth="1"/>
    <col min="6124" max="6124" width="60.36328125" style="737" customWidth="1"/>
    <col min="6125" max="6129" width="10.90625" style="737" bestFit="1" customWidth="1"/>
    <col min="6130" max="6130" width="11.90625" style="737" bestFit="1" customWidth="1"/>
    <col min="6131" max="6131" width="14.36328125" style="737" bestFit="1" customWidth="1"/>
    <col min="6132" max="6132" width="17.453125" style="737" bestFit="1" customWidth="1"/>
    <col min="6133" max="6135" width="17.54296875" style="737" bestFit="1" customWidth="1"/>
    <col min="6136" max="6142" width="21" style="737" bestFit="1" customWidth="1"/>
    <col min="6143" max="6150" width="21.08984375" style="737" bestFit="1" customWidth="1"/>
    <col min="6151" max="6151" width="22.6328125" style="737" customWidth="1"/>
    <col min="6152" max="6152" width="22" style="737" customWidth="1"/>
    <col min="6153" max="6153" width="22.6328125" style="737" customWidth="1"/>
    <col min="6154" max="6159" width="21.08984375" style="737" bestFit="1" customWidth="1"/>
    <col min="6160" max="6160" width="19.54296875" style="737" customWidth="1"/>
    <col min="6161" max="6161" width="21.08984375" style="737" bestFit="1" customWidth="1"/>
    <col min="6162" max="6162" width="22.6328125" style="737" customWidth="1"/>
    <col min="6163" max="6163" width="22" style="737" customWidth="1"/>
    <col min="6164" max="6164" width="23.453125" style="737" bestFit="1" customWidth="1"/>
    <col min="6165" max="6167" width="9.08984375" style="737"/>
    <col min="6168" max="6168" width="11.36328125" style="737" customWidth="1"/>
    <col min="6169" max="6169" width="10.36328125" style="737" customWidth="1"/>
    <col min="6170" max="6377" width="9.08984375" style="737"/>
    <col min="6378" max="6378" width="2.90625" style="737" customWidth="1"/>
    <col min="6379" max="6379" width="13.08984375" style="737" customWidth="1"/>
    <col min="6380" max="6380" width="60.36328125" style="737" customWidth="1"/>
    <col min="6381" max="6385" width="10.90625" style="737" bestFit="1" customWidth="1"/>
    <col min="6386" max="6386" width="11.90625" style="737" bestFit="1" customWidth="1"/>
    <col min="6387" max="6387" width="14.36328125" style="737" bestFit="1" customWidth="1"/>
    <col min="6388" max="6388" width="17.453125" style="737" bestFit="1" customWidth="1"/>
    <col min="6389" max="6391" width="17.54296875" style="737" bestFit="1" customWidth="1"/>
    <col min="6392" max="6398" width="21" style="737" bestFit="1" customWidth="1"/>
    <col min="6399" max="6406" width="21.08984375" style="737" bestFit="1" customWidth="1"/>
    <col min="6407" max="6407" width="22.6328125" style="737" customWidth="1"/>
    <col min="6408" max="6408" width="22" style="737" customWidth="1"/>
    <col min="6409" max="6409" width="22.6328125" style="737" customWidth="1"/>
    <col min="6410" max="6415" width="21.08984375" style="737" bestFit="1" customWidth="1"/>
    <col min="6416" max="6416" width="19.54296875" style="737" customWidth="1"/>
    <col min="6417" max="6417" width="21.08984375" style="737" bestFit="1" customWidth="1"/>
    <col min="6418" max="6418" width="22.6328125" style="737" customWidth="1"/>
    <col min="6419" max="6419" width="22" style="737" customWidth="1"/>
    <col min="6420" max="6420" width="23.453125" style="737" bestFit="1" customWidth="1"/>
    <col min="6421" max="6423" width="9.08984375" style="737"/>
    <col min="6424" max="6424" width="11.36328125" style="737" customWidth="1"/>
    <col min="6425" max="6425" width="10.36328125" style="737" customWidth="1"/>
    <col min="6426" max="6633" width="9.08984375" style="737"/>
    <col min="6634" max="6634" width="2.90625" style="737" customWidth="1"/>
    <col min="6635" max="6635" width="13.08984375" style="737" customWidth="1"/>
    <col min="6636" max="6636" width="60.36328125" style="737" customWidth="1"/>
    <col min="6637" max="6641" width="10.90625" style="737" bestFit="1" customWidth="1"/>
    <col min="6642" max="6642" width="11.90625" style="737" bestFit="1" customWidth="1"/>
    <col min="6643" max="6643" width="14.36328125" style="737" bestFit="1" customWidth="1"/>
    <col min="6644" max="6644" width="17.453125" style="737" bestFit="1" customWidth="1"/>
    <col min="6645" max="6647" width="17.54296875" style="737" bestFit="1" customWidth="1"/>
    <col min="6648" max="6654" width="21" style="737" bestFit="1" customWidth="1"/>
    <col min="6655" max="6662" width="21.08984375" style="737" bestFit="1" customWidth="1"/>
    <col min="6663" max="6663" width="22.6328125" style="737" customWidth="1"/>
    <col min="6664" max="6664" width="22" style="737" customWidth="1"/>
    <col min="6665" max="6665" width="22.6328125" style="737" customWidth="1"/>
    <col min="6666" max="6671" width="21.08984375" style="737" bestFit="1" customWidth="1"/>
    <col min="6672" max="6672" width="19.54296875" style="737" customWidth="1"/>
    <col min="6673" max="6673" width="21.08984375" style="737" bestFit="1" customWidth="1"/>
    <col min="6674" max="6674" width="22.6328125" style="737" customWidth="1"/>
    <col min="6675" max="6675" width="22" style="737" customWidth="1"/>
    <col min="6676" max="6676" width="23.453125" style="737" bestFit="1" customWidth="1"/>
    <col min="6677" max="6679" width="9.08984375" style="737"/>
    <col min="6680" max="6680" width="11.36328125" style="737" customWidth="1"/>
    <col min="6681" max="6681" width="10.36328125" style="737" customWidth="1"/>
    <col min="6682" max="6889" width="9.08984375" style="737"/>
    <col min="6890" max="6890" width="2.90625" style="737" customWidth="1"/>
    <col min="6891" max="6891" width="13.08984375" style="737" customWidth="1"/>
    <col min="6892" max="6892" width="60.36328125" style="737" customWidth="1"/>
    <col min="6893" max="6897" width="10.90625" style="737" bestFit="1" customWidth="1"/>
    <col min="6898" max="6898" width="11.90625" style="737" bestFit="1" customWidth="1"/>
    <col min="6899" max="6899" width="14.36328125" style="737" bestFit="1" customWidth="1"/>
    <col min="6900" max="6900" width="17.453125" style="737" bestFit="1" customWidth="1"/>
    <col min="6901" max="6903" width="17.54296875" style="737" bestFit="1" customWidth="1"/>
    <col min="6904" max="6910" width="21" style="737" bestFit="1" customWidth="1"/>
    <col min="6911" max="6918" width="21.08984375" style="737" bestFit="1" customWidth="1"/>
    <col min="6919" max="6919" width="22.6328125" style="737" customWidth="1"/>
    <col min="6920" max="6920" width="22" style="737" customWidth="1"/>
    <col min="6921" max="6921" width="22.6328125" style="737" customWidth="1"/>
    <col min="6922" max="6927" width="21.08984375" style="737" bestFit="1" customWidth="1"/>
    <col min="6928" max="6928" width="19.54296875" style="737" customWidth="1"/>
    <col min="6929" max="6929" width="21.08984375" style="737" bestFit="1" customWidth="1"/>
    <col min="6930" max="6930" width="22.6328125" style="737" customWidth="1"/>
    <col min="6931" max="6931" width="22" style="737" customWidth="1"/>
    <col min="6932" max="6932" width="23.453125" style="737" bestFit="1" customWidth="1"/>
    <col min="6933" max="6935" width="9.08984375" style="737"/>
    <col min="6936" max="6936" width="11.36328125" style="737" customWidth="1"/>
    <col min="6937" max="6937" width="10.36328125" style="737" customWidth="1"/>
    <col min="6938" max="7145" width="9.08984375" style="737"/>
    <col min="7146" max="7146" width="2.90625" style="737" customWidth="1"/>
    <col min="7147" max="7147" width="13.08984375" style="737" customWidth="1"/>
    <col min="7148" max="7148" width="60.36328125" style="737" customWidth="1"/>
    <col min="7149" max="7153" width="10.90625" style="737" bestFit="1" customWidth="1"/>
    <col min="7154" max="7154" width="11.90625" style="737" bestFit="1" customWidth="1"/>
    <col min="7155" max="7155" width="14.36328125" style="737" bestFit="1" customWidth="1"/>
    <col min="7156" max="7156" width="17.453125" style="737" bestFit="1" customWidth="1"/>
    <col min="7157" max="7159" width="17.54296875" style="737" bestFit="1" customWidth="1"/>
    <col min="7160" max="7166" width="21" style="737" bestFit="1" customWidth="1"/>
    <col min="7167" max="7174" width="21.08984375" style="737" bestFit="1" customWidth="1"/>
    <col min="7175" max="7175" width="22.6328125" style="737" customWidth="1"/>
    <col min="7176" max="7176" width="22" style="737" customWidth="1"/>
    <col min="7177" max="7177" width="22.6328125" style="737" customWidth="1"/>
    <col min="7178" max="7183" width="21.08984375" style="737" bestFit="1" customWidth="1"/>
    <col min="7184" max="7184" width="19.54296875" style="737" customWidth="1"/>
    <col min="7185" max="7185" width="21.08984375" style="737" bestFit="1" customWidth="1"/>
    <col min="7186" max="7186" width="22.6328125" style="737" customWidth="1"/>
    <col min="7187" max="7187" width="22" style="737" customWidth="1"/>
    <col min="7188" max="7188" width="23.453125" style="737" bestFit="1" customWidth="1"/>
    <col min="7189" max="7191" width="9.08984375" style="737"/>
    <col min="7192" max="7192" width="11.36328125" style="737" customWidth="1"/>
    <col min="7193" max="7193" width="10.36328125" style="737" customWidth="1"/>
    <col min="7194" max="7401" width="9.08984375" style="737"/>
    <col min="7402" max="7402" width="2.90625" style="737" customWidth="1"/>
    <col min="7403" max="7403" width="13.08984375" style="737" customWidth="1"/>
    <col min="7404" max="7404" width="60.36328125" style="737" customWidth="1"/>
    <col min="7405" max="7409" width="10.90625" style="737" bestFit="1" customWidth="1"/>
    <col min="7410" max="7410" width="11.90625" style="737" bestFit="1" customWidth="1"/>
    <col min="7411" max="7411" width="14.36328125" style="737" bestFit="1" customWidth="1"/>
    <col min="7412" max="7412" width="17.453125" style="737" bestFit="1" customWidth="1"/>
    <col min="7413" max="7415" width="17.54296875" style="737" bestFit="1" customWidth="1"/>
    <col min="7416" max="7422" width="21" style="737" bestFit="1" customWidth="1"/>
    <col min="7423" max="7430" width="21.08984375" style="737" bestFit="1" customWidth="1"/>
    <col min="7431" max="7431" width="22.6328125" style="737" customWidth="1"/>
    <col min="7432" max="7432" width="22" style="737" customWidth="1"/>
    <col min="7433" max="7433" width="22.6328125" style="737" customWidth="1"/>
    <col min="7434" max="7439" width="21.08984375" style="737" bestFit="1" customWidth="1"/>
    <col min="7440" max="7440" width="19.54296875" style="737" customWidth="1"/>
    <col min="7441" max="7441" width="21.08984375" style="737" bestFit="1" customWidth="1"/>
    <col min="7442" max="7442" width="22.6328125" style="737" customWidth="1"/>
    <col min="7443" max="7443" width="22" style="737" customWidth="1"/>
    <col min="7444" max="7444" width="23.453125" style="737" bestFit="1" customWidth="1"/>
    <col min="7445" max="7447" width="9.08984375" style="737"/>
    <col min="7448" max="7448" width="11.36328125" style="737" customWidth="1"/>
    <col min="7449" max="7449" width="10.36328125" style="737" customWidth="1"/>
    <col min="7450" max="7657" width="9.08984375" style="737"/>
    <col min="7658" max="7658" width="2.90625" style="737" customWidth="1"/>
    <col min="7659" max="7659" width="13.08984375" style="737" customWidth="1"/>
    <col min="7660" max="7660" width="60.36328125" style="737" customWidth="1"/>
    <col min="7661" max="7665" width="10.90625" style="737" bestFit="1" customWidth="1"/>
    <col min="7666" max="7666" width="11.90625" style="737" bestFit="1" customWidth="1"/>
    <col min="7667" max="7667" width="14.36328125" style="737" bestFit="1" customWidth="1"/>
    <col min="7668" max="7668" width="17.453125" style="737" bestFit="1" customWidth="1"/>
    <col min="7669" max="7671" width="17.54296875" style="737" bestFit="1" customWidth="1"/>
    <col min="7672" max="7678" width="21" style="737" bestFit="1" customWidth="1"/>
    <col min="7679" max="7686" width="21.08984375" style="737" bestFit="1" customWidth="1"/>
    <col min="7687" max="7687" width="22.6328125" style="737" customWidth="1"/>
    <col min="7688" max="7688" width="22" style="737" customWidth="1"/>
    <col min="7689" max="7689" width="22.6328125" style="737" customWidth="1"/>
    <col min="7690" max="7695" width="21.08984375" style="737" bestFit="1" customWidth="1"/>
    <col min="7696" max="7696" width="19.54296875" style="737" customWidth="1"/>
    <col min="7697" max="7697" width="21.08984375" style="737" bestFit="1" customWidth="1"/>
    <col min="7698" max="7698" width="22.6328125" style="737" customWidth="1"/>
    <col min="7699" max="7699" width="22" style="737" customWidth="1"/>
    <col min="7700" max="7700" width="23.453125" style="737" bestFit="1" customWidth="1"/>
    <col min="7701" max="7703" width="9.08984375" style="737"/>
    <col min="7704" max="7704" width="11.36328125" style="737" customWidth="1"/>
    <col min="7705" max="7705" width="10.36328125" style="737" customWidth="1"/>
    <col min="7706" max="7913" width="9.08984375" style="737"/>
    <col min="7914" max="7914" width="2.90625" style="737" customWidth="1"/>
    <col min="7915" max="7915" width="13.08984375" style="737" customWidth="1"/>
    <col min="7916" max="7916" width="60.36328125" style="737" customWidth="1"/>
    <col min="7917" max="7921" width="10.90625" style="737" bestFit="1" customWidth="1"/>
    <col min="7922" max="7922" width="11.90625" style="737" bestFit="1" customWidth="1"/>
    <col min="7923" max="7923" width="14.36328125" style="737" bestFit="1" customWidth="1"/>
    <col min="7924" max="7924" width="17.453125" style="737" bestFit="1" customWidth="1"/>
    <col min="7925" max="7927" width="17.54296875" style="737" bestFit="1" customWidth="1"/>
    <col min="7928" max="7934" width="21" style="737" bestFit="1" customWidth="1"/>
    <col min="7935" max="7942" width="21.08984375" style="737" bestFit="1" customWidth="1"/>
    <col min="7943" max="7943" width="22.6328125" style="737" customWidth="1"/>
    <col min="7944" max="7944" width="22" style="737" customWidth="1"/>
    <col min="7945" max="7945" width="22.6328125" style="737" customWidth="1"/>
    <col min="7946" max="7951" width="21.08984375" style="737" bestFit="1" customWidth="1"/>
    <col min="7952" max="7952" width="19.54296875" style="737" customWidth="1"/>
    <col min="7953" max="7953" width="21.08984375" style="737" bestFit="1" customWidth="1"/>
    <col min="7954" max="7954" width="22.6328125" style="737" customWidth="1"/>
    <col min="7955" max="7955" width="22" style="737" customWidth="1"/>
    <col min="7956" max="7956" width="23.453125" style="737" bestFit="1" customWidth="1"/>
    <col min="7957" max="7959" width="9.08984375" style="737"/>
    <col min="7960" max="7960" width="11.36328125" style="737" customWidth="1"/>
    <col min="7961" max="7961" width="10.36328125" style="737" customWidth="1"/>
    <col min="7962" max="8169" width="9.08984375" style="737"/>
    <col min="8170" max="8170" width="2.90625" style="737" customWidth="1"/>
    <col min="8171" max="8171" width="13.08984375" style="737" customWidth="1"/>
    <col min="8172" max="8172" width="60.36328125" style="737" customWidth="1"/>
    <col min="8173" max="8177" width="10.90625" style="737" bestFit="1" customWidth="1"/>
    <col min="8178" max="8178" width="11.90625" style="737" bestFit="1" customWidth="1"/>
    <col min="8179" max="8179" width="14.36328125" style="737" bestFit="1" customWidth="1"/>
    <col min="8180" max="8180" width="17.453125" style="737" bestFit="1" customWidth="1"/>
    <col min="8181" max="8183" width="17.54296875" style="737" bestFit="1" customWidth="1"/>
    <col min="8184" max="8190" width="21" style="737" bestFit="1" customWidth="1"/>
    <col min="8191" max="8198" width="21.08984375" style="737" bestFit="1" customWidth="1"/>
    <col min="8199" max="8199" width="22.6328125" style="737" customWidth="1"/>
    <col min="8200" max="8200" width="22" style="737" customWidth="1"/>
    <col min="8201" max="8201" width="22.6328125" style="737" customWidth="1"/>
    <col min="8202" max="8207" width="21.08984375" style="737" bestFit="1" customWidth="1"/>
    <col min="8208" max="8208" width="19.54296875" style="737" customWidth="1"/>
    <col min="8209" max="8209" width="21.08984375" style="737" bestFit="1" customWidth="1"/>
    <col min="8210" max="8210" width="22.6328125" style="737" customWidth="1"/>
    <col min="8211" max="8211" width="22" style="737" customWidth="1"/>
    <col min="8212" max="8212" width="23.453125" style="737" bestFit="1" customWidth="1"/>
    <col min="8213" max="8215" width="9.08984375" style="737"/>
    <col min="8216" max="8216" width="11.36328125" style="737" customWidth="1"/>
    <col min="8217" max="8217" width="10.36328125" style="737" customWidth="1"/>
    <col min="8218" max="8425" width="9.08984375" style="737"/>
    <col min="8426" max="8426" width="2.90625" style="737" customWidth="1"/>
    <col min="8427" max="8427" width="13.08984375" style="737" customWidth="1"/>
    <col min="8428" max="8428" width="60.36328125" style="737" customWidth="1"/>
    <col min="8429" max="8433" width="10.90625" style="737" bestFit="1" customWidth="1"/>
    <col min="8434" max="8434" width="11.90625" style="737" bestFit="1" customWidth="1"/>
    <col min="8435" max="8435" width="14.36328125" style="737" bestFit="1" customWidth="1"/>
    <col min="8436" max="8436" width="17.453125" style="737" bestFit="1" customWidth="1"/>
    <col min="8437" max="8439" width="17.54296875" style="737" bestFit="1" customWidth="1"/>
    <col min="8440" max="8446" width="21" style="737" bestFit="1" customWidth="1"/>
    <col min="8447" max="8454" width="21.08984375" style="737" bestFit="1" customWidth="1"/>
    <col min="8455" max="8455" width="22.6328125" style="737" customWidth="1"/>
    <col min="8456" max="8456" width="22" style="737" customWidth="1"/>
    <col min="8457" max="8457" width="22.6328125" style="737" customWidth="1"/>
    <col min="8458" max="8463" width="21.08984375" style="737" bestFit="1" customWidth="1"/>
    <col min="8464" max="8464" width="19.54296875" style="737" customWidth="1"/>
    <col min="8465" max="8465" width="21.08984375" style="737" bestFit="1" customWidth="1"/>
    <col min="8466" max="8466" width="22.6328125" style="737" customWidth="1"/>
    <col min="8467" max="8467" width="22" style="737" customWidth="1"/>
    <col min="8468" max="8468" width="23.453125" style="737" bestFit="1" customWidth="1"/>
    <col min="8469" max="8471" width="9.08984375" style="737"/>
    <col min="8472" max="8472" width="11.36328125" style="737" customWidth="1"/>
    <col min="8473" max="8473" width="10.36328125" style="737" customWidth="1"/>
    <col min="8474" max="8681" width="9.08984375" style="737"/>
    <col min="8682" max="8682" width="2.90625" style="737" customWidth="1"/>
    <col min="8683" max="8683" width="13.08984375" style="737" customWidth="1"/>
    <col min="8684" max="8684" width="60.36328125" style="737" customWidth="1"/>
    <col min="8685" max="8689" width="10.90625" style="737" bestFit="1" customWidth="1"/>
    <col min="8690" max="8690" width="11.90625" style="737" bestFit="1" customWidth="1"/>
    <col min="8691" max="8691" width="14.36328125" style="737" bestFit="1" customWidth="1"/>
    <col min="8692" max="8692" width="17.453125" style="737" bestFit="1" customWidth="1"/>
    <col min="8693" max="8695" width="17.54296875" style="737" bestFit="1" customWidth="1"/>
    <col min="8696" max="8702" width="21" style="737" bestFit="1" customWidth="1"/>
    <col min="8703" max="8710" width="21.08984375" style="737" bestFit="1" customWidth="1"/>
    <col min="8711" max="8711" width="22.6328125" style="737" customWidth="1"/>
    <col min="8712" max="8712" width="22" style="737" customWidth="1"/>
    <col min="8713" max="8713" width="22.6328125" style="737" customWidth="1"/>
    <col min="8714" max="8719" width="21.08984375" style="737" bestFit="1" customWidth="1"/>
    <col min="8720" max="8720" width="19.54296875" style="737" customWidth="1"/>
    <col min="8721" max="8721" width="21.08984375" style="737" bestFit="1" customWidth="1"/>
    <col min="8722" max="8722" width="22.6328125" style="737" customWidth="1"/>
    <col min="8723" max="8723" width="22" style="737" customWidth="1"/>
    <col min="8724" max="8724" width="23.453125" style="737" bestFit="1" customWidth="1"/>
    <col min="8725" max="8727" width="9.08984375" style="737"/>
    <col min="8728" max="8728" width="11.36328125" style="737" customWidth="1"/>
    <col min="8729" max="8729" width="10.36328125" style="737" customWidth="1"/>
    <col min="8730" max="8937" width="9.08984375" style="737"/>
    <col min="8938" max="8938" width="2.90625" style="737" customWidth="1"/>
    <col min="8939" max="8939" width="13.08984375" style="737" customWidth="1"/>
    <col min="8940" max="8940" width="60.36328125" style="737" customWidth="1"/>
    <col min="8941" max="8945" width="10.90625" style="737" bestFit="1" customWidth="1"/>
    <col min="8946" max="8946" width="11.90625" style="737" bestFit="1" customWidth="1"/>
    <col min="8947" max="8947" width="14.36328125" style="737" bestFit="1" customWidth="1"/>
    <col min="8948" max="8948" width="17.453125" style="737" bestFit="1" customWidth="1"/>
    <col min="8949" max="8951" width="17.54296875" style="737" bestFit="1" customWidth="1"/>
    <col min="8952" max="8958" width="21" style="737" bestFit="1" customWidth="1"/>
    <col min="8959" max="8966" width="21.08984375" style="737" bestFit="1" customWidth="1"/>
    <col min="8967" max="8967" width="22.6328125" style="737" customWidth="1"/>
    <col min="8968" max="8968" width="22" style="737" customWidth="1"/>
    <col min="8969" max="8969" width="22.6328125" style="737" customWidth="1"/>
    <col min="8970" max="8975" width="21.08984375" style="737" bestFit="1" customWidth="1"/>
    <col min="8976" max="8976" width="19.54296875" style="737" customWidth="1"/>
    <col min="8977" max="8977" width="21.08984375" style="737" bestFit="1" customWidth="1"/>
    <col min="8978" max="8978" width="22.6328125" style="737" customWidth="1"/>
    <col min="8979" max="8979" width="22" style="737" customWidth="1"/>
    <col min="8980" max="8980" width="23.453125" style="737" bestFit="1" customWidth="1"/>
    <col min="8981" max="8983" width="9.08984375" style="737"/>
    <col min="8984" max="8984" width="11.36328125" style="737" customWidth="1"/>
    <col min="8985" max="8985" width="10.36328125" style="737" customWidth="1"/>
    <col min="8986" max="9193" width="9.08984375" style="737"/>
    <col min="9194" max="9194" width="2.90625" style="737" customWidth="1"/>
    <col min="9195" max="9195" width="13.08984375" style="737" customWidth="1"/>
    <col min="9196" max="9196" width="60.36328125" style="737" customWidth="1"/>
    <col min="9197" max="9201" width="10.90625" style="737" bestFit="1" customWidth="1"/>
    <col min="9202" max="9202" width="11.90625" style="737" bestFit="1" customWidth="1"/>
    <col min="9203" max="9203" width="14.36328125" style="737" bestFit="1" customWidth="1"/>
    <col min="9204" max="9204" width="17.453125" style="737" bestFit="1" customWidth="1"/>
    <col min="9205" max="9207" width="17.54296875" style="737" bestFit="1" customWidth="1"/>
    <col min="9208" max="9214" width="21" style="737" bestFit="1" customWidth="1"/>
    <col min="9215" max="9222" width="21.08984375" style="737" bestFit="1" customWidth="1"/>
    <col min="9223" max="9223" width="22.6328125" style="737" customWidth="1"/>
    <col min="9224" max="9224" width="22" style="737" customWidth="1"/>
    <col min="9225" max="9225" width="22.6328125" style="737" customWidth="1"/>
    <col min="9226" max="9231" width="21.08984375" style="737" bestFit="1" customWidth="1"/>
    <col min="9232" max="9232" width="19.54296875" style="737" customWidth="1"/>
    <col min="9233" max="9233" width="21.08984375" style="737" bestFit="1" customWidth="1"/>
    <col min="9234" max="9234" width="22.6328125" style="737" customWidth="1"/>
    <col min="9235" max="9235" width="22" style="737" customWidth="1"/>
    <col min="9236" max="9236" width="23.453125" style="737" bestFit="1" customWidth="1"/>
    <col min="9237" max="9239" width="9.08984375" style="737"/>
    <col min="9240" max="9240" width="11.36328125" style="737" customWidth="1"/>
    <col min="9241" max="9241" width="10.36328125" style="737" customWidth="1"/>
    <col min="9242" max="9449" width="9.08984375" style="737"/>
    <col min="9450" max="9450" width="2.90625" style="737" customWidth="1"/>
    <col min="9451" max="9451" width="13.08984375" style="737" customWidth="1"/>
    <col min="9452" max="9452" width="60.36328125" style="737" customWidth="1"/>
    <col min="9453" max="9457" width="10.90625" style="737" bestFit="1" customWidth="1"/>
    <col min="9458" max="9458" width="11.90625" style="737" bestFit="1" customWidth="1"/>
    <col min="9459" max="9459" width="14.36328125" style="737" bestFit="1" customWidth="1"/>
    <col min="9460" max="9460" width="17.453125" style="737" bestFit="1" customWidth="1"/>
    <col min="9461" max="9463" width="17.54296875" style="737" bestFit="1" customWidth="1"/>
    <col min="9464" max="9470" width="21" style="737" bestFit="1" customWidth="1"/>
    <col min="9471" max="9478" width="21.08984375" style="737" bestFit="1" customWidth="1"/>
    <col min="9479" max="9479" width="22.6328125" style="737" customWidth="1"/>
    <col min="9480" max="9480" width="22" style="737" customWidth="1"/>
    <col min="9481" max="9481" width="22.6328125" style="737" customWidth="1"/>
    <col min="9482" max="9487" width="21.08984375" style="737" bestFit="1" customWidth="1"/>
    <col min="9488" max="9488" width="19.54296875" style="737" customWidth="1"/>
    <col min="9489" max="9489" width="21.08984375" style="737" bestFit="1" customWidth="1"/>
    <col min="9490" max="9490" width="22.6328125" style="737" customWidth="1"/>
    <col min="9491" max="9491" width="22" style="737" customWidth="1"/>
    <col min="9492" max="9492" width="23.453125" style="737" bestFit="1" customWidth="1"/>
    <col min="9493" max="9495" width="9.08984375" style="737"/>
    <col min="9496" max="9496" width="11.36328125" style="737" customWidth="1"/>
    <col min="9497" max="9497" width="10.36328125" style="737" customWidth="1"/>
    <col min="9498" max="9705" width="9.08984375" style="737"/>
    <col min="9706" max="9706" width="2.90625" style="737" customWidth="1"/>
    <col min="9707" max="9707" width="13.08984375" style="737" customWidth="1"/>
    <col min="9708" max="9708" width="60.36328125" style="737" customWidth="1"/>
    <col min="9709" max="9713" width="10.90625" style="737" bestFit="1" customWidth="1"/>
    <col min="9714" max="9714" width="11.90625" style="737" bestFit="1" customWidth="1"/>
    <col min="9715" max="9715" width="14.36328125" style="737" bestFit="1" customWidth="1"/>
    <col min="9716" max="9716" width="17.453125" style="737" bestFit="1" customWidth="1"/>
    <col min="9717" max="9719" width="17.54296875" style="737" bestFit="1" customWidth="1"/>
    <col min="9720" max="9726" width="21" style="737" bestFit="1" customWidth="1"/>
    <col min="9727" max="9734" width="21.08984375" style="737" bestFit="1" customWidth="1"/>
    <col min="9735" max="9735" width="22.6328125" style="737" customWidth="1"/>
    <col min="9736" max="9736" width="22" style="737" customWidth="1"/>
    <col min="9737" max="9737" width="22.6328125" style="737" customWidth="1"/>
    <col min="9738" max="9743" width="21.08984375" style="737" bestFit="1" customWidth="1"/>
    <col min="9744" max="9744" width="19.54296875" style="737" customWidth="1"/>
    <col min="9745" max="9745" width="21.08984375" style="737" bestFit="1" customWidth="1"/>
    <col min="9746" max="9746" width="22.6328125" style="737" customWidth="1"/>
    <col min="9747" max="9747" width="22" style="737" customWidth="1"/>
    <col min="9748" max="9748" width="23.453125" style="737" bestFit="1" customWidth="1"/>
    <col min="9749" max="9751" width="9.08984375" style="737"/>
    <col min="9752" max="9752" width="11.36328125" style="737" customWidth="1"/>
    <col min="9753" max="9753" width="10.36328125" style="737" customWidth="1"/>
    <col min="9754" max="9961" width="9.08984375" style="737"/>
    <col min="9962" max="9962" width="2.90625" style="737" customWidth="1"/>
    <col min="9963" max="9963" width="13.08984375" style="737" customWidth="1"/>
    <col min="9964" max="9964" width="60.36328125" style="737" customWidth="1"/>
    <col min="9965" max="9969" width="10.90625" style="737" bestFit="1" customWidth="1"/>
    <col min="9970" max="9970" width="11.90625" style="737" bestFit="1" customWidth="1"/>
    <col min="9971" max="9971" width="14.36328125" style="737" bestFit="1" customWidth="1"/>
    <col min="9972" max="9972" width="17.453125" style="737" bestFit="1" customWidth="1"/>
    <col min="9973" max="9975" width="17.54296875" style="737" bestFit="1" customWidth="1"/>
    <col min="9976" max="9982" width="21" style="737" bestFit="1" customWidth="1"/>
    <col min="9983" max="9990" width="21.08984375" style="737" bestFit="1" customWidth="1"/>
    <col min="9991" max="9991" width="22.6328125" style="737" customWidth="1"/>
    <col min="9992" max="9992" width="22" style="737" customWidth="1"/>
    <col min="9993" max="9993" width="22.6328125" style="737" customWidth="1"/>
    <col min="9994" max="9999" width="21.08984375" style="737" bestFit="1" customWidth="1"/>
    <col min="10000" max="10000" width="19.54296875" style="737" customWidth="1"/>
    <col min="10001" max="10001" width="21.08984375" style="737" bestFit="1" customWidth="1"/>
    <col min="10002" max="10002" width="22.6328125" style="737" customWidth="1"/>
    <col min="10003" max="10003" width="22" style="737" customWidth="1"/>
    <col min="10004" max="10004" width="23.453125" style="737" bestFit="1" customWidth="1"/>
    <col min="10005" max="10007" width="9.08984375" style="737"/>
    <col min="10008" max="10008" width="11.36328125" style="737" customWidth="1"/>
    <col min="10009" max="10009" width="10.36328125" style="737" customWidth="1"/>
    <col min="10010" max="10217" width="9.08984375" style="737"/>
    <col min="10218" max="10218" width="2.90625" style="737" customWidth="1"/>
    <col min="10219" max="10219" width="13.08984375" style="737" customWidth="1"/>
    <col min="10220" max="10220" width="60.36328125" style="737" customWidth="1"/>
    <col min="10221" max="10225" width="10.90625" style="737" bestFit="1" customWidth="1"/>
    <col min="10226" max="10226" width="11.90625" style="737" bestFit="1" customWidth="1"/>
    <col min="10227" max="10227" width="14.36328125" style="737" bestFit="1" customWidth="1"/>
    <col min="10228" max="10228" width="17.453125" style="737" bestFit="1" customWidth="1"/>
    <col min="10229" max="10231" width="17.54296875" style="737" bestFit="1" customWidth="1"/>
    <col min="10232" max="10238" width="21" style="737" bestFit="1" customWidth="1"/>
    <col min="10239" max="10246" width="21.08984375" style="737" bestFit="1" customWidth="1"/>
    <col min="10247" max="10247" width="22.6328125" style="737" customWidth="1"/>
    <col min="10248" max="10248" width="22" style="737" customWidth="1"/>
    <col min="10249" max="10249" width="22.6328125" style="737" customWidth="1"/>
    <col min="10250" max="10255" width="21.08984375" style="737" bestFit="1" customWidth="1"/>
    <col min="10256" max="10256" width="19.54296875" style="737" customWidth="1"/>
    <col min="10257" max="10257" width="21.08984375" style="737" bestFit="1" customWidth="1"/>
    <col min="10258" max="10258" width="22.6328125" style="737" customWidth="1"/>
    <col min="10259" max="10259" width="22" style="737" customWidth="1"/>
    <col min="10260" max="10260" width="23.453125" style="737" bestFit="1" customWidth="1"/>
    <col min="10261" max="10263" width="9.08984375" style="737"/>
    <col min="10264" max="10264" width="11.36328125" style="737" customWidth="1"/>
    <col min="10265" max="10265" width="10.36328125" style="737" customWidth="1"/>
    <col min="10266" max="10473" width="9.08984375" style="737"/>
    <col min="10474" max="10474" width="2.90625" style="737" customWidth="1"/>
    <col min="10475" max="10475" width="13.08984375" style="737" customWidth="1"/>
    <col min="10476" max="10476" width="60.36328125" style="737" customWidth="1"/>
    <col min="10477" max="10481" width="10.90625" style="737" bestFit="1" customWidth="1"/>
    <col min="10482" max="10482" width="11.90625" style="737" bestFit="1" customWidth="1"/>
    <col min="10483" max="10483" width="14.36328125" style="737" bestFit="1" customWidth="1"/>
    <col min="10484" max="10484" width="17.453125" style="737" bestFit="1" customWidth="1"/>
    <col min="10485" max="10487" width="17.54296875" style="737" bestFit="1" customWidth="1"/>
    <col min="10488" max="10494" width="21" style="737" bestFit="1" customWidth="1"/>
    <col min="10495" max="10502" width="21.08984375" style="737" bestFit="1" customWidth="1"/>
    <col min="10503" max="10503" width="22.6328125" style="737" customWidth="1"/>
    <col min="10504" max="10504" width="22" style="737" customWidth="1"/>
    <col min="10505" max="10505" width="22.6328125" style="737" customWidth="1"/>
    <col min="10506" max="10511" width="21.08984375" style="737" bestFit="1" customWidth="1"/>
    <col min="10512" max="10512" width="19.54296875" style="737" customWidth="1"/>
    <col min="10513" max="10513" width="21.08984375" style="737" bestFit="1" customWidth="1"/>
    <col min="10514" max="10514" width="22.6328125" style="737" customWidth="1"/>
    <col min="10515" max="10515" width="22" style="737" customWidth="1"/>
    <col min="10516" max="10516" width="23.453125" style="737" bestFit="1" customWidth="1"/>
    <col min="10517" max="10519" width="9.08984375" style="737"/>
    <col min="10520" max="10520" width="11.36328125" style="737" customWidth="1"/>
    <col min="10521" max="10521" width="10.36328125" style="737" customWidth="1"/>
    <col min="10522" max="10729" width="9.08984375" style="737"/>
    <col min="10730" max="10730" width="2.90625" style="737" customWidth="1"/>
    <col min="10731" max="10731" width="13.08984375" style="737" customWidth="1"/>
    <col min="10732" max="10732" width="60.36328125" style="737" customWidth="1"/>
    <col min="10733" max="10737" width="10.90625" style="737" bestFit="1" customWidth="1"/>
    <col min="10738" max="10738" width="11.90625" style="737" bestFit="1" customWidth="1"/>
    <col min="10739" max="10739" width="14.36328125" style="737" bestFit="1" customWidth="1"/>
    <col min="10740" max="10740" width="17.453125" style="737" bestFit="1" customWidth="1"/>
    <col min="10741" max="10743" width="17.54296875" style="737" bestFit="1" customWidth="1"/>
    <col min="10744" max="10750" width="21" style="737" bestFit="1" customWidth="1"/>
    <col min="10751" max="10758" width="21.08984375" style="737" bestFit="1" customWidth="1"/>
    <col min="10759" max="10759" width="22.6328125" style="737" customWidth="1"/>
    <col min="10760" max="10760" width="22" style="737" customWidth="1"/>
    <col min="10761" max="10761" width="22.6328125" style="737" customWidth="1"/>
    <col min="10762" max="10767" width="21.08984375" style="737" bestFit="1" customWidth="1"/>
    <col min="10768" max="10768" width="19.54296875" style="737" customWidth="1"/>
    <col min="10769" max="10769" width="21.08984375" style="737" bestFit="1" customWidth="1"/>
    <col min="10770" max="10770" width="22.6328125" style="737" customWidth="1"/>
    <col min="10771" max="10771" width="22" style="737" customWidth="1"/>
    <col min="10772" max="10772" width="23.453125" style="737" bestFit="1" customWidth="1"/>
    <col min="10773" max="10775" width="9.08984375" style="737"/>
    <col min="10776" max="10776" width="11.36328125" style="737" customWidth="1"/>
    <col min="10777" max="10777" width="10.36328125" style="737" customWidth="1"/>
    <col min="10778" max="10985" width="9.08984375" style="737"/>
    <col min="10986" max="10986" width="2.90625" style="737" customWidth="1"/>
    <col min="10987" max="10987" width="13.08984375" style="737" customWidth="1"/>
    <col min="10988" max="10988" width="60.36328125" style="737" customWidth="1"/>
    <col min="10989" max="10993" width="10.90625" style="737" bestFit="1" customWidth="1"/>
    <col min="10994" max="10994" width="11.90625" style="737" bestFit="1" customWidth="1"/>
    <col min="10995" max="10995" width="14.36328125" style="737" bestFit="1" customWidth="1"/>
    <col min="10996" max="10996" width="17.453125" style="737" bestFit="1" customWidth="1"/>
    <col min="10997" max="10999" width="17.54296875" style="737" bestFit="1" customWidth="1"/>
    <col min="11000" max="11006" width="21" style="737" bestFit="1" customWidth="1"/>
    <col min="11007" max="11014" width="21.08984375" style="737" bestFit="1" customWidth="1"/>
    <col min="11015" max="11015" width="22.6328125" style="737" customWidth="1"/>
    <col min="11016" max="11016" width="22" style="737" customWidth="1"/>
    <col min="11017" max="11017" width="22.6328125" style="737" customWidth="1"/>
    <col min="11018" max="11023" width="21.08984375" style="737" bestFit="1" customWidth="1"/>
    <col min="11024" max="11024" width="19.54296875" style="737" customWidth="1"/>
    <col min="11025" max="11025" width="21.08984375" style="737" bestFit="1" customWidth="1"/>
    <col min="11026" max="11026" width="22.6328125" style="737" customWidth="1"/>
    <col min="11027" max="11027" width="22" style="737" customWidth="1"/>
    <col min="11028" max="11028" width="23.453125" style="737" bestFit="1" customWidth="1"/>
    <col min="11029" max="11031" width="9.08984375" style="737"/>
    <col min="11032" max="11032" width="11.36328125" style="737" customWidth="1"/>
    <col min="11033" max="11033" width="10.36328125" style="737" customWidth="1"/>
    <col min="11034" max="11241" width="9.08984375" style="737"/>
    <col min="11242" max="11242" width="2.90625" style="737" customWidth="1"/>
    <col min="11243" max="11243" width="13.08984375" style="737" customWidth="1"/>
    <col min="11244" max="11244" width="60.36328125" style="737" customWidth="1"/>
    <col min="11245" max="11249" width="10.90625" style="737" bestFit="1" customWidth="1"/>
    <col min="11250" max="11250" width="11.90625" style="737" bestFit="1" customWidth="1"/>
    <col min="11251" max="11251" width="14.36328125" style="737" bestFit="1" customWidth="1"/>
    <col min="11252" max="11252" width="17.453125" style="737" bestFit="1" customWidth="1"/>
    <col min="11253" max="11255" width="17.54296875" style="737" bestFit="1" customWidth="1"/>
    <col min="11256" max="11262" width="21" style="737" bestFit="1" customWidth="1"/>
    <col min="11263" max="11270" width="21.08984375" style="737" bestFit="1" customWidth="1"/>
    <col min="11271" max="11271" width="22.6328125" style="737" customWidth="1"/>
    <col min="11272" max="11272" width="22" style="737" customWidth="1"/>
    <col min="11273" max="11273" width="22.6328125" style="737" customWidth="1"/>
    <col min="11274" max="11279" width="21.08984375" style="737" bestFit="1" customWidth="1"/>
    <col min="11280" max="11280" width="19.54296875" style="737" customWidth="1"/>
    <col min="11281" max="11281" width="21.08984375" style="737" bestFit="1" customWidth="1"/>
    <col min="11282" max="11282" width="22.6328125" style="737" customWidth="1"/>
    <col min="11283" max="11283" width="22" style="737" customWidth="1"/>
    <col min="11284" max="11284" width="23.453125" style="737" bestFit="1" customWidth="1"/>
    <col min="11285" max="11287" width="9.08984375" style="737"/>
    <col min="11288" max="11288" width="11.36328125" style="737" customWidth="1"/>
    <col min="11289" max="11289" width="10.36328125" style="737" customWidth="1"/>
    <col min="11290" max="11497" width="9.08984375" style="737"/>
    <col min="11498" max="11498" width="2.90625" style="737" customWidth="1"/>
    <col min="11499" max="11499" width="13.08984375" style="737" customWidth="1"/>
    <col min="11500" max="11500" width="60.36328125" style="737" customWidth="1"/>
    <col min="11501" max="11505" width="10.90625" style="737" bestFit="1" customWidth="1"/>
    <col min="11506" max="11506" width="11.90625" style="737" bestFit="1" customWidth="1"/>
    <col min="11507" max="11507" width="14.36328125" style="737" bestFit="1" customWidth="1"/>
    <col min="11508" max="11508" width="17.453125" style="737" bestFit="1" customWidth="1"/>
    <col min="11509" max="11511" width="17.54296875" style="737" bestFit="1" customWidth="1"/>
    <col min="11512" max="11518" width="21" style="737" bestFit="1" customWidth="1"/>
    <col min="11519" max="11526" width="21.08984375" style="737" bestFit="1" customWidth="1"/>
    <col min="11527" max="11527" width="22.6328125" style="737" customWidth="1"/>
    <col min="11528" max="11528" width="22" style="737" customWidth="1"/>
    <col min="11529" max="11529" width="22.6328125" style="737" customWidth="1"/>
    <col min="11530" max="11535" width="21.08984375" style="737" bestFit="1" customWidth="1"/>
    <col min="11536" max="11536" width="19.54296875" style="737" customWidth="1"/>
    <col min="11537" max="11537" width="21.08984375" style="737" bestFit="1" customWidth="1"/>
    <col min="11538" max="11538" width="22.6328125" style="737" customWidth="1"/>
    <col min="11539" max="11539" width="22" style="737" customWidth="1"/>
    <col min="11540" max="11540" width="23.453125" style="737" bestFit="1" customWidth="1"/>
    <col min="11541" max="11543" width="9.08984375" style="737"/>
    <col min="11544" max="11544" width="11.36328125" style="737" customWidth="1"/>
    <col min="11545" max="11545" width="10.36328125" style="737" customWidth="1"/>
    <col min="11546" max="11753" width="9.08984375" style="737"/>
    <col min="11754" max="11754" width="2.90625" style="737" customWidth="1"/>
    <col min="11755" max="11755" width="13.08984375" style="737" customWidth="1"/>
    <col min="11756" max="11756" width="60.36328125" style="737" customWidth="1"/>
    <col min="11757" max="11761" width="10.90625" style="737" bestFit="1" customWidth="1"/>
    <col min="11762" max="11762" width="11.90625" style="737" bestFit="1" customWidth="1"/>
    <col min="11763" max="11763" width="14.36328125" style="737" bestFit="1" customWidth="1"/>
    <col min="11764" max="11764" width="17.453125" style="737" bestFit="1" customWidth="1"/>
    <col min="11765" max="11767" width="17.54296875" style="737" bestFit="1" customWidth="1"/>
    <col min="11768" max="11774" width="21" style="737" bestFit="1" customWidth="1"/>
    <col min="11775" max="11782" width="21.08984375" style="737" bestFit="1" customWidth="1"/>
    <col min="11783" max="11783" width="22.6328125" style="737" customWidth="1"/>
    <col min="11784" max="11784" width="22" style="737" customWidth="1"/>
    <col min="11785" max="11785" width="22.6328125" style="737" customWidth="1"/>
    <col min="11786" max="11791" width="21.08984375" style="737" bestFit="1" customWidth="1"/>
    <col min="11792" max="11792" width="19.54296875" style="737" customWidth="1"/>
    <col min="11793" max="11793" width="21.08984375" style="737" bestFit="1" customWidth="1"/>
    <col min="11794" max="11794" width="22.6328125" style="737" customWidth="1"/>
    <col min="11795" max="11795" width="22" style="737" customWidth="1"/>
    <col min="11796" max="11796" width="23.453125" style="737" bestFit="1" customWidth="1"/>
    <col min="11797" max="11799" width="9.08984375" style="737"/>
    <col min="11800" max="11800" width="11.36328125" style="737" customWidth="1"/>
    <col min="11801" max="11801" width="10.36328125" style="737" customWidth="1"/>
    <col min="11802" max="12009" width="9.08984375" style="737"/>
    <col min="12010" max="12010" width="2.90625" style="737" customWidth="1"/>
    <col min="12011" max="12011" width="13.08984375" style="737" customWidth="1"/>
    <col min="12012" max="12012" width="60.36328125" style="737" customWidth="1"/>
    <col min="12013" max="12017" width="10.90625" style="737" bestFit="1" customWidth="1"/>
    <col min="12018" max="12018" width="11.90625" style="737" bestFit="1" customWidth="1"/>
    <col min="12019" max="12019" width="14.36328125" style="737" bestFit="1" customWidth="1"/>
    <col min="12020" max="12020" width="17.453125" style="737" bestFit="1" customWidth="1"/>
    <col min="12021" max="12023" width="17.54296875" style="737" bestFit="1" customWidth="1"/>
    <col min="12024" max="12030" width="21" style="737" bestFit="1" customWidth="1"/>
    <col min="12031" max="12038" width="21.08984375" style="737" bestFit="1" customWidth="1"/>
    <col min="12039" max="12039" width="22.6328125" style="737" customWidth="1"/>
    <col min="12040" max="12040" width="22" style="737" customWidth="1"/>
    <col min="12041" max="12041" width="22.6328125" style="737" customWidth="1"/>
    <col min="12042" max="12047" width="21.08984375" style="737" bestFit="1" customWidth="1"/>
    <col min="12048" max="12048" width="19.54296875" style="737" customWidth="1"/>
    <col min="12049" max="12049" width="21.08984375" style="737" bestFit="1" customWidth="1"/>
    <col min="12050" max="12050" width="22.6328125" style="737" customWidth="1"/>
    <col min="12051" max="12051" width="22" style="737" customWidth="1"/>
    <col min="12052" max="12052" width="23.453125" style="737" bestFit="1" customWidth="1"/>
    <col min="12053" max="12055" width="9.08984375" style="737"/>
    <col min="12056" max="12056" width="11.36328125" style="737" customWidth="1"/>
    <col min="12057" max="12057" width="10.36328125" style="737" customWidth="1"/>
    <col min="12058" max="12265" width="9.08984375" style="737"/>
    <col min="12266" max="12266" width="2.90625" style="737" customWidth="1"/>
    <col min="12267" max="12267" width="13.08984375" style="737" customWidth="1"/>
    <col min="12268" max="12268" width="60.36328125" style="737" customWidth="1"/>
    <col min="12269" max="12273" width="10.90625" style="737" bestFit="1" customWidth="1"/>
    <col min="12274" max="12274" width="11.90625" style="737" bestFit="1" customWidth="1"/>
    <col min="12275" max="12275" width="14.36328125" style="737" bestFit="1" customWidth="1"/>
    <col min="12276" max="12276" width="17.453125" style="737" bestFit="1" customWidth="1"/>
    <col min="12277" max="12279" width="17.54296875" style="737" bestFit="1" customWidth="1"/>
    <col min="12280" max="12286" width="21" style="737" bestFit="1" customWidth="1"/>
    <col min="12287" max="12294" width="21.08984375" style="737" bestFit="1" customWidth="1"/>
    <col min="12295" max="12295" width="22.6328125" style="737" customWidth="1"/>
    <col min="12296" max="12296" width="22" style="737" customWidth="1"/>
    <col min="12297" max="12297" width="22.6328125" style="737" customWidth="1"/>
    <col min="12298" max="12303" width="21.08984375" style="737" bestFit="1" customWidth="1"/>
    <col min="12304" max="12304" width="19.54296875" style="737" customWidth="1"/>
    <col min="12305" max="12305" width="21.08984375" style="737" bestFit="1" customWidth="1"/>
    <col min="12306" max="12306" width="22.6328125" style="737" customWidth="1"/>
    <col min="12307" max="12307" width="22" style="737" customWidth="1"/>
    <col min="12308" max="12308" width="23.453125" style="737" bestFit="1" customWidth="1"/>
    <col min="12309" max="12311" width="9.08984375" style="737"/>
    <col min="12312" max="12312" width="11.36328125" style="737" customWidth="1"/>
    <col min="12313" max="12313" width="10.36328125" style="737" customWidth="1"/>
    <col min="12314" max="12521" width="9.08984375" style="737"/>
    <col min="12522" max="12522" width="2.90625" style="737" customWidth="1"/>
    <col min="12523" max="12523" width="13.08984375" style="737" customWidth="1"/>
    <col min="12524" max="12524" width="60.36328125" style="737" customWidth="1"/>
    <col min="12525" max="12529" width="10.90625" style="737" bestFit="1" customWidth="1"/>
    <col min="12530" max="12530" width="11.90625" style="737" bestFit="1" customWidth="1"/>
    <col min="12531" max="12531" width="14.36328125" style="737" bestFit="1" customWidth="1"/>
    <col min="12532" max="12532" width="17.453125" style="737" bestFit="1" customWidth="1"/>
    <col min="12533" max="12535" width="17.54296875" style="737" bestFit="1" customWidth="1"/>
    <col min="12536" max="12542" width="21" style="737" bestFit="1" customWidth="1"/>
    <col min="12543" max="12550" width="21.08984375" style="737" bestFit="1" customWidth="1"/>
    <col min="12551" max="12551" width="22.6328125" style="737" customWidth="1"/>
    <col min="12552" max="12552" width="22" style="737" customWidth="1"/>
    <col min="12553" max="12553" width="22.6328125" style="737" customWidth="1"/>
    <col min="12554" max="12559" width="21.08984375" style="737" bestFit="1" customWidth="1"/>
    <col min="12560" max="12560" width="19.54296875" style="737" customWidth="1"/>
    <col min="12561" max="12561" width="21.08984375" style="737" bestFit="1" customWidth="1"/>
    <col min="12562" max="12562" width="22.6328125" style="737" customWidth="1"/>
    <col min="12563" max="12563" width="22" style="737" customWidth="1"/>
    <col min="12564" max="12564" width="23.453125" style="737" bestFit="1" customWidth="1"/>
    <col min="12565" max="12567" width="9.08984375" style="737"/>
    <col min="12568" max="12568" width="11.36328125" style="737" customWidth="1"/>
    <col min="12569" max="12569" width="10.36328125" style="737" customWidth="1"/>
    <col min="12570" max="12777" width="9.08984375" style="737"/>
    <col min="12778" max="12778" width="2.90625" style="737" customWidth="1"/>
    <col min="12779" max="12779" width="13.08984375" style="737" customWidth="1"/>
    <col min="12780" max="12780" width="60.36328125" style="737" customWidth="1"/>
    <col min="12781" max="12785" width="10.90625" style="737" bestFit="1" customWidth="1"/>
    <col min="12786" max="12786" width="11.90625" style="737" bestFit="1" customWidth="1"/>
    <col min="12787" max="12787" width="14.36328125" style="737" bestFit="1" customWidth="1"/>
    <col min="12788" max="12788" width="17.453125" style="737" bestFit="1" customWidth="1"/>
    <col min="12789" max="12791" width="17.54296875" style="737" bestFit="1" customWidth="1"/>
    <col min="12792" max="12798" width="21" style="737" bestFit="1" customWidth="1"/>
    <col min="12799" max="12806" width="21.08984375" style="737" bestFit="1" customWidth="1"/>
    <col min="12807" max="12807" width="22.6328125" style="737" customWidth="1"/>
    <col min="12808" max="12808" width="22" style="737" customWidth="1"/>
    <col min="12809" max="12809" width="22.6328125" style="737" customWidth="1"/>
    <col min="12810" max="12815" width="21.08984375" style="737" bestFit="1" customWidth="1"/>
    <col min="12816" max="12816" width="19.54296875" style="737" customWidth="1"/>
    <col min="12817" max="12817" width="21.08984375" style="737" bestFit="1" customWidth="1"/>
    <col min="12818" max="12818" width="22.6328125" style="737" customWidth="1"/>
    <col min="12819" max="12819" width="22" style="737" customWidth="1"/>
    <col min="12820" max="12820" width="23.453125" style="737" bestFit="1" customWidth="1"/>
    <col min="12821" max="12823" width="9.08984375" style="737"/>
    <col min="12824" max="12824" width="11.36328125" style="737" customWidth="1"/>
    <col min="12825" max="12825" width="10.36328125" style="737" customWidth="1"/>
    <col min="12826" max="13033" width="9.08984375" style="737"/>
    <col min="13034" max="13034" width="2.90625" style="737" customWidth="1"/>
    <col min="13035" max="13035" width="13.08984375" style="737" customWidth="1"/>
    <col min="13036" max="13036" width="60.36328125" style="737" customWidth="1"/>
    <col min="13037" max="13041" width="10.90625" style="737" bestFit="1" customWidth="1"/>
    <col min="13042" max="13042" width="11.90625" style="737" bestFit="1" customWidth="1"/>
    <col min="13043" max="13043" width="14.36328125" style="737" bestFit="1" customWidth="1"/>
    <col min="13044" max="13044" width="17.453125" style="737" bestFit="1" customWidth="1"/>
    <col min="13045" max="13047" width="17.54296875" style="737" bestFit="1" customWidth="1"/>
    <col min="13048" max="13054" width="21" style="737" bestFit="1" customWidth="1"/>
    <col min="13055" max="13062" width="21.08984375" style="737" bestFit="1" customWidth="1"/>
    <col min="13063" max="13063" width="22.6328125" style="737" customWidth="1"/>
    <col min="13064" max="13064" width="22" style="737" customWidth="1"/>
    <col min="13065" max="13065" width="22.6328125" style="737" customWidth="1"/>
    <col min="13066" max="13071" width="21.08984375" style="737" bestFit="1" customWidth="1"/>
    <col min="13072" max="13072" width="19.54296875" style="737" customWidth="1"/>
    <col min="13073" max="13073" width="21.08984375" style="737" bestFit="1" customWidth="1"/>
    <col min="13074" max="13074" width="22.6328125" style="737" customWidth="1"/>
    <col min="13075" max="13075" width="22" style="737" customWidth="1"/>
    <col min="13076" max="13076" width="23.453125" style="737" bestFit="1" customWidth="1"/>
    <col min="13077" max="13079" width="9.08984375" style="737"/>
    <col min="13080" max="13080" width="11.36328125" style="737" customWidth="1"/>
    <col min="13081" max="13081" width="10.36328125" style="737" customWidth="1"/>
    <col min="13082" max="13289" width="9.08984375" style="737"/>
    <col min="13290" max="13290" width="2.90625" style="737" customWidth="1"/>
    <col min="13291" max="13291" width="13.08984375" style="737" customWidth="1"/>
    <col min="13292" max="13292" width="60.36328125" style="737" customWidth="1"/>
    <col min="13293" max="13297" width="10.90625" style="737" bestFit="1" customWidth="1"/>
    <col min="13298" max="13298" width="11.90625" style="737" bestFit="1" customWidth="1"/>
    <col min="13299" max="13299" width="14.36328125" style="737" bestFit="1" customWidth="1"/>
    <col min="13300" max="13300" width="17.453125" style="737" bestFit="1" customWidth="1"/>
    <col min="13301" max="13303" width="17.54296875" style="737" bestFit="1" customWidth="1"/>
    <col min="13304" max="13310" width="21" style="737" bestFit="1" customWidth="1"/>
    <col min="13311" max="13318" width="21.08984375" style="737" bestFit="1" customWidth="1"/>
    <col min="13319" max="13319" width="22.6328125" style="737" customWidth="1"/>
    <col min="13320" max="13320" width="22" style="737" customWidth="1"/>
    <col min="13321" max="13321" width="22.6328125" style="737" customWidth="1"/>
    <col min="13322" max="13327" width="21.08984375" style="737" bestFit="1" customWidth="1"/>
    <col min="13328" max="13328" width="19.54296875" style="737" customWidth="1"/>
    <col min="13329" max="13329" width="21.08984375" style="737" bestFit="1" customWidth="1"/>
    <col min="13330" max="13330" width="22.6328125" style="737" customWidth="1"/>
    <col min="13331" max="13331" width="22" style="737" customWidth="1"/>
    <col min="13332" max="13332" width="23.453125" style="737" bestFit="1" customWidth="1"/>
    <col min="13333" max="13335" width="9.08984375" style="737"/>
    <col min="13336" max="13336" width="11.36328125" style="737" customWidth="1"/>
    <col min="13337" max="13337" width="10.36328125" style="737" customWidth="1"/>
    <col min="13338" max="13545" width="9.08984375" style="737"/>
    <col min="13546" max="13546" width="2.90625" style="737" customWidth="1"/>
    <col min="13547" max="13547" width="13.08984375" style="737" customWidth="1"/>
    <col min="13548" max="13548" width="60.36328125" style="737" customWidth="1"/>
    <col min="13549" max="13553" width="10.90625" style="737" bestFit="1" customWidth="1"/>
    <col min="13554" max="13554" width="11.90625" style="737" bestFit="1" customWidth="1"/>
    <col min="13555" max="13555" width="14.36328125" style="737" bestFit="1" customWidth="1"/>
    <col min="13556" max="13556" width="17.453125" style="737" bestFit="1" customWidth="1"/>
    <col min="13557" max="13559" width="17.54296875" style="737" bestFit="1" customWidth="1"/>
    <col min="13560" max="13566" width="21" style="737" bestFit="1" customWidth="1"/>
    <col min="13567" max="13574" width="21.08984375" style="737" bestFit="1" customWidth="1"/>
    <col min="13575" max="13575" width="22.6328125" style="737" customWidth="1"/>
    <col min="13576" max="13576" width="22" style="737" customWidth="1"/>
    <col min="13577" max="13577" width="22.6328125" style="737" customWidth="1"/>
    <col min="13578" max="13583" width="21.08984375" style="737" bestFit="1" customWidth="1"/>
    <col min="13584" max="13584" width="19.54296875" style="737" customWidth="1"/>
    <col min="13585" max="13585" width="21.08984375" style="737" bestFit="1" customWidth="1"/>
    <col min="13586" max="13586" width="22.6328125" style="737" customWidth="1"/>
    <col min="13587" max="13587" width="22" style="737" customWidth="1"/>
    <col min="13588" max="13588" width="23.453125" style="737" bestFit="1" customWidth="1"/>
    <col min="13589" max="13591" width="9.08984375" style="737"/>
    <col min="13592" max="13592" width="11.36328125" style="737" customWidth="1"/>
    <col min="13593" max="13593" width="10.36328125" style="737" customWidth="1"/>
    <col min="13594" max="13801" width="9.08984375" style="737"/>
    <col min="13802" max="13802" width="2.90625" style="737" customWidth="1"/>
    <col min="13803" max="13803" width="13.08984375" style="737" customWidth="1"/>
    <col min="13804" max="13804" width="60.36328125" style="737" customWidth="1"/>
    <col min="13805" max="13809" width="10.90625" style="737" bestFit="1" customWidth="1"/>
    <col min="13810" max="13810" width="11.90625" style="737" bestFit="1" customWidth="1"/>
    <col min="13811" max="13811" width="14.36328125" style="737" bestFit="1" customWidth="1"/>
    <col min="13812" max="13812" width="17.453125" style="737" bestFit="1" customWidth="1"/>
    <col min="13813" max="13815" width="17.54296875" style="737" bestFit="1" customWidth="1"/>
    <col min="13816" max="13822" width="21" style="737" bestFit="1" customWidth="1"/>
    <col min="13823" max="13830" width="21.08984375" style="737" bestFit="1" customWidth="1"/>
    <col min="13831" max="13831" width="22.6328125" style="737" customWidth="1"/>
    <col min="13832" max="13832" width="22" style="737" customWidth="1"/>
    <col min="13833" max="13833" width="22.6328125" style="737" customWidth="1"/>
    <col min="13834" max="13839" width="21.08984375" style="737" bestFit="1" customWidth="1"/>
    <col min="13840" max="13840" width="19.54296875" style="737" customWidth="1"/>
    <col min="13841" max="13841" width="21.08984375" style="737" bestFit="1" customWidth="1"/>
    <col min="13842" max="13842" width="22.6328125" style="737" customWidth="1"/>
    <col min="13843" max="13843" width="22" style="737" customWidth="1"/>
    <col min="13844" max="13844" width="23.453125" style="737" bestFit="1" customWidth="1"/>
    <col min="13845" max="13847" width="9.08984375" style="737"/>
    <col min="13848" max="13848" width="11.36328125" style="737" customWidth="1"/>
    <col min="13849" max="13849" width="10.36328125" style="737" customWidth="1"/>
    <col min="13850" max="14057" width="9.08984375" style="737"/>
    <col min="14058" max="14058" width="2.90625" style="737" customWidth="1"/>
    <col min="14059" max="14059" width="13.08984375" style="737" customWidth="1"/>
    <col min="14060" max="14060" width="60.36328125" style="737" customWidth="1"/>
    <col min="14061" max="14065" width="10.90625" style="737" bestFit="1" customWidth="1"/>
    <col min="14066" max="14066" width="11.90625" style="737" bestFit="1" customWidth="1"/>
    <col min="14067" max="14067" width="14.36328125" style="737" bestFit="1" customWidth="1"/>
    <col min="14068" max="14068" width="17.453125" style="737" bestFit="1" customWidth="1"/>
    <col min="14069" max="14071" width="17.54296875" style="737" bestFit="1" customWidth="1"/>
    <col min="14072" max="14078" width="21" style="737" bestFit="1" customWidth="1"/>
    <col min="14079" max="14086" width="21.08984375" style="737" bestFit="1" customWidth="1"/>
    <col min="14087" max="14087" width="22.6328125" style="737" customWidth="1"/>
    <col min="14088" max="14088" width="22" style="737" customWidth="1"/>
    <col min="14089" max="14089" width="22.6328125" style="737" customWidth="1"/>
    <col min="14090" max="14095" width="21.08984375" style="737" bestFit="1" customWidth="1"/>
    <col min="14096" max="14096" width="19.54296875" style="737" customWidth="1"/>
    <col min="14097" max="14097" width="21.08984375" style="737" bestFit="1" customWidth="1"/>
    <col min="14098" max="14098" width="22.6328125" style="737" customWidth="1"/>
    <col min="14099" max="14099" width="22" style="737" customWidth="1"/>
    <col min="14100" max="14100" width="23.453125" style="737" bestFit="1" customWidth="1"/>
    <col min="14101" max="14103" width="9.08984375" style="737"/>
    <col min="14104" max="14104" width="11.36328125" style="737" customWidth="1"/>
    <col min="14105" max="14105" width="10.36328125" style="737" customWidth="1"/>
    <col min="14106" max="14313" width="9.08984375" style="737"/>
    <col min="14314" max="14314" width="2.90625" style="737" customWidth="1"/>
    <col min="14315" max="14315" width="13.08984375" style="737" customWidth="1"/>
    <col min="14316" max="14316" width="60.36328125" style="737" customWidth="1"/>
    <col min="14317" max="14321" width="10.90625" style="737" bestFit="1" customWidth="1"/>
    <col min="14322" max="14322" width="11.90625" style="737" bestFit="1" customWidth="1"/>
    <col min="14323" max="14323" width="14.36328125" style="737" bestFit="1" customWidth="1"/>
    <col min="14324" max="14324" width="17.453125" style="737" bestFit="1" customWidth="1"/>
    <col min="14325" max="14327" width="17.54296875" style="737" bestFit="1" customWidth="1"/>
    <col min="14328" max="14334" width="21" style="737" bestFit="1" customWidth="1"/>
    <col min="14335" max="14342" width="21.08984375" style="737" bestFit="1" customWidth="1"/>
    <col min="14343" max="14343" width="22.6328125" style="737" customWidth="1"/>
    <col min="14344" max="14344" width="22" style="737" customWidth="1"/>
    <col min="14345" max="14345" width="22.6328125" style="737" customWidth="1"/>
    <col min="14346" max="14351" width="21.08984375" style="737" bestFit="1" customWidth="1"/>
    <col min="14352" max="14352" width="19.54296875" style="737" customWidth="1"/>
    <col min="14353" max="14353" width="21.08984375" style="737" bestFit="1" customWidth="1"/>
    <col min="14354" max="14354" width="22.6328125" style="737" customWidth="1"/>
    <col min="14355" max="14355" width="22" style="737" customWidth="1"/>
    <col min="14356" max="14356" width="23.453125" style="737" bestFit="1" customWidth="1"/>
    <col min="14357" max="14359" width="9.08984375" style="737"/>
    <col min="14360" max="14360" width="11.36328125" style="737" customWidth="1"/>
    <col min="14361" max="14361" width="10.36328125" style="737" customWidth="1"/>
    <col min="14362" max="14569" width="9.08984375" style="737"/>
    <col min="14570" max="14570" width="2.90625" style="737" customWidth="1"/>
    <col min="14571" max="14571" width="13.08984375" style="737" customWidth="1"/>
    <col min="14572" max="14572" width="60.36328125" style="737" customWidth="1"/>
    <col min="14573" max="14577" width="10.90625" style="737" bestFit="1" customWidth="1"/>
    <col min="14578" max="14578" width="11.90625" style="737" bestFit="1" customWidth="1"/>
    <col min="14579" max="14579" width="14.36328125" style="737" bestFit="1" customWidth="1"/>
    <col min="14580" max="14580" width="17.453125" style="737" bestFit="1" customWidth="1"/>
    <col min="14581" max="14583" width="17.54296875" style="737" bestFit="1" customWidth="1"/>
    <col min="14584" max="14590" width="21" style="737" bestFit="1" customWidth="1"/>
    <col min="14591" max="14598" width="21.08984375" style="737" bestFit="1" customWidth="1"/>
    <col min="14599" max="14599" width="22.6328125" style="737" customWidth="1"/>
    <col min="14600" max="14600" width="22" style="737" customWidth="1"/>
    <col min="14601" max="14601" width="22.6328125" style="737" customWidth="1"/>
    <col min="14602" max="14607" width="21.08984375" style="737" bestFit="1" customWidth="1"/>
    <col min="14608" max="14608" width="19.54296875" style="737" customWidth="1"/>
    <col min="14609" max="14609" width="21.08984375" style="737" bestFit="1" customWidth="1"/>
    <col min="14610" max="14610" width="22.6328125" style="737" customWidth="1"/>
    <col min="14611" max="14611" width="22" style="737" customWidth="1"/>
    <col min="14612" max="14612" width="23.453125" style="737" bestFit="1" customWidth="1"/>
    <col min="14613" max="14615" width="9.08984375" style="737"/>
    <col min="14616" max="14616" width="11.36328125" style="737" customWidth="1"/>
    <col min="14617" max="14617" width="10.36328125" style="737" customWidth="1"/>
    <col min="14618" max="14825" width="9.08984375" style="737"/>
    <col min="14826" max="14826" width="2.90625" style="737" customWidth="1"/>
    <col min="14827" max="14827" width="13.08984375" style="737" customWidth="1"/>
    <col min="14828" max="14828" width="60.36328125" style="737" customWidth="1"/>
    <col min="14829" max="14833" width="10.90625" style="737" bestFit="1" customWidth="1"/>
    <col min="14834" max="14834" width="11.90625" style="737" bestFit="1" customWidth="1"/>
    <col min="14835" max="14835" width="14.36328125" style="737" bestFit="1" customWidth="1"/>
    <col min="14836" max="14836" width="17.453125" style="737" bestFit="1" customWidth="1"/>
    <col min="14837" max="14839" width="17.54296875" style="737" bestFit="1" customWidth="1"/>
    <col min="14840" max="14846" width="21" style="737" bestFit="1" customWidth="1"/>
    <col min="14847" max="14854" width="21.08984375" style="737" bestFit="1" customWidth="1"/>
    <col min="14855" max="14855" width="22.6328125" style="737" customWidth="1"/>
    <col min="14856" max="14856" width="22" style="737" customWidth="1"/>
    <col min="14857" max="14857" width="22.6328125" style="737" customWidth="1"/>
    <col min="14858" max="14863" width="21.08984375" style="737" bestFit="1" customWidth="1"/>
    <col min="14864" max="14864" width="19.54296875" style="737" customWidth="1"/>
    <col min="14865" max="14865" width="21.08984375" style="737" bestFit="1" customWidth="1"/>
    <col min="14866" max="14866" width="22.6328125" style="737" customWidth="1"/>
    <col min="14867" max="14867" width="22" style="737" customWidth="1"/>
    <col min="14868" max="14868" width="23.453125" style="737" bestFit="1" customWidth="1"/>
    <col min="14869" max="14871" width="9.08984375" style="737"/>
    <col min="14872" max="14872" width="11.36328125" style="737" customWidth="1"/>
    <col min="14873" max="14873" width="10.36328125" style="737" customWidth="1"/>
    <col min="14874" max="15081" width="9.08984375" style="737"/>
    <col min="15082" max="15082" width="2.90625" style="737" customWidth="1"/>
    <col min="15083" max="15083" width="13.08984375" style="737" customWidth="1"/>
    <col min="15084" max="15084" width="60.36328125" style="737" customWidth="1"/>
    <col min="15085" max="15089" width="10.90625" style="737" bestFit="1" customWidth="1"/>
    <col min="15090" max="15090" width="11.90625" style="737" bestFit="1" customWidth="1"/>
    <col min="15091" max="15091" width="14.36328125" style="737" bestFit="1" customWidth="1"/>
    <col min="15092" max="15092" width="17.453125" style="737" bestFit="1" customWidth="1"/>
    <col min="15093" max="15095" width="17.54296875" style="737" bestFit="1" customWidth="1"/>
    <col min="15096" max="15102" width="21" style="737" bestFit="1" customWidth="1"/>
    <col min="15103" max="15110" width="21.08984375" style="737" bestFit="1" customWidth="1"/>
    <col min="15111" max="15111" width="22.6328125" style="737" customWidth="1"/>
    <col min="15112" max="15112" width="22" style="737" customWidth="1"/>
    <col min="15113" max="15113" width="22.6328125" style="737" customWidth="1"/>
    <col min="15114" max="15119" width="21.08984375" style="737" bestFit="1" customWidth="1"/>
    <col min="15120" max="15120" width="19.54296875" style="737" customWidth="1"/>
    <col min="15121" max="15121" width="21.08984375" style="737" bestFit="1" customWidth="1"/>
    <col min="15122" max="15122" width="22.6328125" style="737" customWidth="1"/>
    <col min="15123" max="15123" width="22" style="737" customWidth="1"/>
    <col min="15124" max="15124" width="23.453125" style="737" bestFit="1" customWidth="1"/>
    <col min="15125" max="15127" width="9.08984375" style="737"/>
    <col min="15128" max="15128" width="11.36328125" style="737" customWidth="1"/>
    <col min="15129" max="15129" width="10.36328125" style="737" customWidth="1"/>
    <col min="15130" max="15337" width="9.08984375" style="737"/>
    <col min="15338" max="15338" width="2.90625" style="737" customWidth="1"/>
    <col min="15339" max="15339" width="13.08984375" style="737" customWidth="1"/>
    <col min="15340" max="15340" width="60.36328125" style="737" customWidth="1"/>
    <col min="15341" max="15345" width="10.90625" style="737" bestFit="1" customWidth="1"/>
    <col min="15346" max="15346" width="11.90625" style="737" bestFit="1" customWidth="1"/>
    <col min="15347" max="15347" width="14.36328125" style="737" bestFit="1" customWidth="1"/>
    <col min="15348" max="15348" width="17.453125" style="737" bestFit="1" customWidth="1"/>
    <col min="15349" max="15351" width="17.54296875" style="737" bestFit="1" customWidth="1"/>
    <col min="15352" max="15358" width="21" style="737" bestFit="1" customWidth="1"/>
    <col min="15359" max="15366" width="21.08984375" style="737" bestFit="1" customWidth="1"/>
    <col min="15367" max="15367" width="22.6328125" style="737" customWidth="1"/>
    <col min="15368" max="15368" width="22" style="737" customWidth="1"/>
    <col min="15369" max="15369" width="22.6328125" style="737" customWidth="1"/>
    <col min="15370" max="15375" width="21.08984375" style="737" bestFit="1" customWidth="1"/>
    <col min="15376" max="15376" width="19.54296875" style="737" customWidth="1"/>
    <col min="15377" max="15377" width="21.08984375" style="737" bestFit="1" customWidth="1"/>
    <col min="15378" max="15378" width="22.6328125" style="737" customWidth="1"/>
    <col min="15379" max="15379" width="22" style="737" customWidth="1"/>
    <col min="15380" max="15380" width="23.453125" style="737" bestFit="1" customWidth="1"/>
    <col min="15381" max="15383" width="9.08984375" style="737"/>
    <col min="15384" max="15384" width="11.36328125" style="737" customWidth="1"/>
    <col min="15385" max="15385" width="10.36328125" style="737" customWidth="1"/>
    <col min="15386" max="15593" width="9.08984375" style="737"/>
    <col min="15594" max="15594" width="2.90625" style="737" customWidth="1"/>
    <col min="15595" max="15595" width="13.08984375" style="737" customWidth="1"/>
    <col min="15596" max="15596" width="60.36328125" style="737" customWidth="1"/>
    <col min="15597" max="15601" width="10.90625" style="737" bestFit="1" customWidth="1"/>
    <col min="15602" max="15602" width="11.90625" style="737" bestFit="1" customWidth="1"/>
    <col min="15603" max="15603" width="14.36328125" style="737" bestFit="1" customWidth="1"/>
    <col min="15604" max="15604" width="17.453125" style="737" bestFit="1" customWidth="1"/>
    <col min="15605" max="15607" width="17.54296875" style="737" bestFit="1" customWidth="1"/>
    <col min="15608" max="15614" width="21" style="737" bestFit="1" customWidth="1"/>
    <col min="15615" max="15622" width="21.08984375" style="737" bestFit="1" customWidth="1"/>
    <col min="15623" max="15623" width="22.6328125" style="737" customWidth="1"/>
    <col min="15624" max="15624" width="22" style="737" customWidth="1"/>
    <col min="15625" max="15625" width="22.6328125" style="737" customWidth="1"/>
    <col min="15626" max="15631" width="21.08984375" style="737" bestFit="1" customWidth="1"/>
    <col min="15632" max="15632" width="19.54296875" style="737" customWidth="1"/>
    <col min="15633" max="15633" width="21.08984375" style="737" bestFit="1" customWidth="1"/>
    <col min="15634" max="15634" width="22.6328125" style="737" customWidth="1"/>
    <col min="15635" max="15635" width="22" style="737" customWidth="1"/>
    <col min="15636" max="15636" width="23.453125" style="737" bestFit="1" customWidth="1"/>
    <col min="15637" max="15639" width="9.08984375" style="737"/>
    <col min="15640" max="15640" width="11.36328125" style="737" customWidth="1"/>
    <col min="15641" max="15641" width="10.36328125" style="737" customWidth="1"/>
    <col min="15642" max="15849" width="9.08984375" style="737"/>
    <col min="15850" max="15850" width="2.90625" style="737" customWidth="1"/>
    <col min="15851" max="15851" width="13.08984375" style="737" customWidth="1"/>
    <col min="15852" max="15852" width="60.36328125" style="737" customWidth="1"/>
    <col min="15853" max="15857" width="10.90625" style="737" bestFit="1" customWidth="1"/>
    <col min="15858" max="15858" width="11.90625" style="737" bestFit="1" customWidth="1"/>
    <col min="15859" max="15859" width="14.36328125" style="737" bestFit="1" customWidth="1"/>
    <col min="15860" max="15860" width="17.453125" style="737" bestFit="1" customWidth="1"/>
    <col min="15861" max="15863" width="17.54296875" style="737" bestFit="1" customWidth="1"/>
    <col min="15864" max="15870" width="21" style="737" bestFit="1" customWidth="1"/>
    <col min="15871" max="15878" width="21.08984375" style="737" bestFit="1" customWidth="1"/>
    <col min="15879" max="15879" width="22.6328125" style="737" customWidth="1"/>
    <col min="15880" max="15880" width="22" style="737" customWidth="1"/>
    <col min="15881" max="15881" width="22.6328125" style="737" customWidth="1"/>
    <col min="15882" max="15887" width="21.08984375" style="737" bestFit="1" customWidth="1"/>
    <col min="15888" max="15888" width="19.54296875" style="737" customWidth="1"/>
    <col min="15889" max="15889" width="21.08984375" style="737" bestFit="1" customWidth="1"/>
    <col min="15890" max="15890" width="22.6328125" style="737" customWidth="1"/>
    <col min="15891" max="15891" width="22" style="737" customWidth="1"/>
    <col min="15892" max="15892" width="23.453125" style="737" bestFit="1" customWidth="1"/>
    <col min="15893" max="15895" width="9.08984375" style="737"/>
    <col min="15896" max="15896" width="11.36328125" style="737" customWidth="1"/>
    <col min="15897" max="15897" width="10.36328125" style="737" customWidth="1"/>
    <col min="15898" max="16105" width="9.08984375" style="737"/>
    <col min="16106" max="16106" width="2.90625" style="737" customWidth="1"/>
    <col min="16107" max="16107" width="13.08984375" style="737" customWidth="1"/>
    <col min="16108" max="16108" width="60.36328125" style="737" customWidth="1"/>
    <col min="16109" max="16113" width="10.90625" style="737" bestFit="1" customWidth="1"/>
    <col min="16114" max="16114" width="11.90625" style="737" bestFit="1" customWidth="1"/>
    <col min="16115" max="16115" width="14.36328125" style="737" bestFit="1" customWidth="1"/>
    <col min="16116" max="16116" width="17.453125" style="737" bestFit="1" customWidth="1"/>
    <col min="16117" max="16119" width="17.54296875" style="737" bestFit="1" customWidth="1"/>
    <col min="16120" max="16126" width="21" style="737" bestFit="1" customWidth="1"/>
    <col min="16127" max="16134" width="21.08984375" style="737" bestFit="1" customWidth="1"/>
    <col min="16135" max="16135" width="22.6328125" style="737" customWidth="1"/>
    <col min="16136" max="16136" width="22" style="737" customWidth="1"/>
    <col min="16137" max="16137" width="22.6328125" style="737" customWidth="1"/>
    <col min="16138" max="16143" width="21.08984375" style="737" bestFit="1" customWidth="1"/>
    <col min="16144" max="16144" width="19.54296875" style="737" customWidth="1"/>
    <col min="16145" max="16145" width="21.08984375" style="737" bestFit="1" customWidth="1"/>
    <col min="16146" max="16146" width="22.6328125" style="737" customWidth="1"/>
    <col min="16147" max="16147" width="22" style="737" customWidth="1"/>
    <col min="16148" max="16148" width="23.453125" style="737" bestFit="1" customWidth="1"/>
    <col min="16149" max="16151" width="9.08984375" style="737"/>
    <col min="16152" max="16152" width="11.36328125" style="737" customWidth="1"/>
    <col min="16153" max="16153" width="10.36328125" style="737" customWidth="1"/>
    <col min="16154" max="16384" width="9.08984375" style="737"/>
  </cols>
  <sheetData>
    <row r="1" spans="2:26" x14ac:dyDescent="0.3">
      <c r="B1" s="736"/>
    </row>
    <row r="2" spans="2:26" x14ac:dyDescent="0.3">
      <c r="B2" s="738"/>
      <c r="C2" s="738"/>
      <c r="D2" s="738"/>
      <c r="E2" s="739"/>
      <c r="F2" s="739"/>
      <c r="G2" s="739"/>
      <c r="H2" s="739"/>
      <c r="I2" s="739"/>
      <c r="J2" s="739"/>
      <c r="K2" s="739"/>
      <c r="L2" s="693" t="str">
        <f>Index!B2</f>
        <v xml:space="preserve">      Maharashtra State Power Generation Company Ltd.</v>
      </c>
      <c r="M2" s="739"/>
      <c r="N2" s="739"/>
      <c r="O2" s="739"/>
      <c r="P2" s="738"/>
      <c r="Q2" s="739"/>
      <c r="R2" s="739"/>
      <c r="S2" s="739"/>
      <c r="T2" s="739"/>
      <c r="U2" s="739"/>
      <c r="V2" s="739"/>
      <c r="W2" s="739"/>
      <c r="X2" s="739"/>
      <c r="Y2" s="739"/>
      <c r="Z2" s="739"/>
    </row>
    <row r="3" spans="2:26" x14ac:dyDescent="0.3">
      <c r="B3" s="740"/>
      <c r="C3" s="741"/>
      <c r="E3" s="740"/>
      <c r="F3" s="740"/>
      <c r="G3" s="740"/>
      <c r="H3" s="740"/>
      <c r="I3" s="740"/>
      <c r="J3" s="740"/>
      <c r="K3" s="740"/>
      <c r="L3" s="698" t="s">
        <v>1035</v>
      </c>
      <c r="M3" s="740"/>
      <c r="N3" s="740"/>
      <c r="O3" s="740"/>
      <c r="P3" s="740"/>
      <c r="Q3" s="740"/>
      <c r="R3" s="740"/>
      <c r="S3" s="740"/>
      <c r="T3" s="740"/>
      <c r="U3" s="740"/>
      <c r="V3" s="740"/>
      <c r="W3" s="740"/>
      <c r="X3" s="741"/>
      <c r="Y3" s="741"/>
      <c r="Z3" s="741"/>
    </row>
    <row r="4" spans="2:26" x14ac:dyDescent="0.3">
      <c r="B4" s="738"/>
      <c r="C4" s="738"/>
      <c r="D4" s="738"/>
      <c r="L4" s="742" t="s">
        <v>1043</v>
      </c>
      <c r="P4" s="738"/>
    </row>
    <row r="5" spans="2:26" x14ac:dyDescent="0.3">
      <c r="B5" s="743"/>
      <c r="C5" s="743"/>
      <c r="D5" s="743"/>
    </row>
    <row r="6" spans="2:26" x14ac:dyDescent="0.3">
      <c r="B6" s="1773" t="s">
        <v>1044</v>
      </c>
      <c r="C6" s="744" t="s">
        <v>1045</v>
      </c>
      <c r="D6" s="1776" t="s">
        <v>1046</v>
      </c>
      <c r="E6" s="1776"/>
      <c r="F6" s="1776"/>
      <c r="G6" s="1776"/>
      <c r="H6" s="1776" t="s">
        <v>1046</v>
      </c>
      <c r="I6" s="1776"/>
      <c r="J6" s="1776"/>
      <c r="K6" s="1776"/>
      <c r="L6" s="1776" t="s">
        <v>425</v>
      </c>
      <c r="M6" s="1776"/>
      <c r="N6" s="1776"/>
      <c r="O6" s="1776"/>
      <c r="P6" s="1776" t="s">
        <v>1047</v>
      </c>
      <c r="Q6" s="1776"/>
      <c r="R6" s="1776"/>
      <c r="S6" s="1776"/>
      <c r="T6" s="745"/>
    </row>
    <row r="7" spans="2:26" x14ac:dyDescent="0.3">
      <c r="B7" s="1774"/>
      <c r="C7" s="746" t="s">
        <v>1041</v>
      </c>
      <c r="D7" s="747" t="s">
        <v>1048</v>
      </c>
      <c r="E7" s="747" t="s">
        <v>1049</v>
      </c>
      <c r="F7" s="747" t="s">
        <v>1050</v>
      </c>
      <c r="G7" s="747" t="s">
        <v>1051</v>
      </c>
      <c r="H7" s="747" t="s">
        <v>1048</v>
      </c>
      <c r="I7" s="747" t="s">
        <v>1049</v>
      </c>
      <c r="J7" s="747" t="s">
        <v>1050</v>
      </c>
      <c r="K7" s="747" t="s">
        <v>1051</v>
      </c>
      <c r="L7" s="747" t="s">
        <v>1048</v>
      </c>
      <c r="M7" s="747" t="s">
        <v>1049</v>
      </c>
      <c r="N7" s="747" t="s">
        <v>1050</v>
      </c>
      <c r="O7" s="747" t="s">
        <v>1051</v>
      </c>
      <c r="P7" s="747" t="s">
        <v>1048</v>
      </c>
      <c r="Q7" s="747" t="s">
        <v>1049</v>
      </c>
      <c r="R7" s="747" t="s">
        <v>1050</v>
      </c>
      <c r="S7" s="747" t="s">
        <v>1051</v>
      </c>
      <c r="T7" s="747" t="s">
        <v>271</v>
      </c>
    </row>
    <row r="8" spans="2:26" x14ac:dyDescent="0.3">
      <c r="B8" s="1775"/>
      <c r="C8" s="744" t="s">
        <v>1052</v>
      </c>
      <c r="D8" s="745"/>
      <c r="E8" s="745"/>
      <c r="F8" s="745"/>
      <c r="G8" s="745"/>
      <c r="H8" s="745"/>
      <c r="I8" s="745"/>
      <c r="J8" s="745"/>
      <c r="K8" s="745"/>
      <c r="L8" s="745"/>
      <c r="M8" s="745"/>
      <c r="N8" s="745"/>
      <c r="O8" s="745"/>
      <c r="P8" s="745"/>
      <c r="Q8" s="745"/>
      <c r="R8" s="745"/>
      <c r="S8" s="745"/>
      <c r="T8" s="745"/>
    </row>
    <row r="9" spans="2:26" x14ac:dyDescent="0.3">
      <c r="B9" s="748"/>
      <c r="C9" s="748"/>
      <c r="D9" s="748"/>
      <c r="E9" s="748"/>
      <c r="F9" s="748"/>
      <c r="G9" s="748"/>
      <c r="H9" s="748"/>
      <c r="I9" s="748"/>
      <c r="J9" s="748"/>
      <c r="K9" s="748"/>
      <c r="L9" s="748"/>
      <c r="M9" s="748"/>
      <c r="N9" s="748"/>
      <c r="O9" s="748"/>
      <c r="P9" s="748"/>
      <c r="Q9" s="748"/>
      <c r="R9" s="748"/>
      <c r="S9" s="748"/>
      <c r="T9" s="748"/>
    </row>
    <row r="10" spans="2:26" x14ac:dyDescent="0.3">
      <c r="B10" s="749">
        <v>1.1000000000000001</v>
      </c>
      <c r="C10" s="750" t="s">
        <v>427</v>
      </c>
      <c r="D10" s="748"/>
      <c r="E10" s="748"/>
      <c r="F10" s="748"/>
      <c r="G10" s="748"/>
      <c r="H10" s="748"/>
      <c r="I10" s="748"/>
      <c r="J10" s="748"/>
      <c r="K10" s="748"/>
      <c r="L10" s="748"/>
      <c r="M10" s="748"/>
      <c r="N10" s="748"/>
      <c r="O10" s="748"/>
      <c r="P10" s="748"/>
      <c r="Q10" s="748"/>
      <c r="R10" s="748"/>
      <c r="S10" s="748"/>
      <c r="T10" s="748"/>
    </row>
    <row r="11" spans="2:26" x14ac:dyDescent="0.3">
      <c r="B11" s="748"/>
      <c r="C11" s="748" t="s">
        <v>1053</v>
      </c>
      <c r="D11" s="751"/>
      <c r="E11" s="751"/>
      <c r="F11" s="751"/>
      <c r="G11" s="751"/>
      <c r="H11" s="751"/>
      <c r="I11" s="751"/>
      <c r="J11" s="751"/>
      <c r="K11" s="751"/>
      <c r="L11" s="751"/>
      <c r="M11" s="751"/>
      <c r="N11" s="751"/>
      <c r="O11" s="751"/>
      <c r="P11" s="751"/>
      <c r="Q11" s="751"/>
      <c r="R11" s="751"/>
      <c r="S11" s="751"/>
      <c r="T11" s="752"/>
    </row>
    <row r="12" spans="2:26" x14ac:dyDescent="0.3">
      <c r="B12" s="748"/>
      <c r="C12" s="748" t="s">
        <v>1054</v>
      </c>
      <c r="D12" s="461"/>
      <c r="E12" s="461"/>
      <c r="F12" s="461"/>
      <c r="G12" s="461"/>
      <c r="H12" s="461"/>
      <c r="I12" s="461"/>
      <c r="J12" s="461"/>
      <c r="K12" s="461"/>
      <c r="L12" s="461"/>
      <c r="M12" s="461"/>
      <c r="N12" s="461"/>
      <c r="O12" s="461"/>
      <c r="P12" s="461"/>
      <c r="Q12" s="461"/>
      <c r="R12" s="461"/>
      <c r="S12" s="461"/>
      <c r="T12" s="752"/>
    </row>
    <row r="13" spans="2:26" x14ac:dyDescent="0.3">
      <c r="B13" s="748"/>
      <c r="C13" s="748" t="s">
        <v>419</v>
      </c>
      <c r="D13" s="751"/>
      <c r="E13" s="751"/>
      <c r="F13" s="751"/>
      <c r="G13" s="751"/>
      <c r="H13" s="751"/>
      <c r="I13" s="751"/>
      <c r="J13" s="751"/>
      <c r="K13" s="751"/>
      <c r="L13" s="751"/>
      <c r="M13" s="751"/>
      <c r="N13" s="751"/>
      <c r="O13" s="751"/>
      <c r="P13" s="751"/>
      <c r="Q13" s="751"/>
      <c r="R13" s="751"/>
      <c r="S13" s="751"/>
      <c r="T13" s="753"/>
      <c r="U13" s="754"/>
    </row>
    <row r="14" spans="2:26" x14ac:dyDescent="0.3">
      <c r="B14" s="748"/>
      <c r="C14" s="748" t="s">
        <v>1055</v>
      </c>
      <c r="D14" s="751"/>
      <c r="E14" s="751"/>
      <c r="F14" s="751"/>
      <c r="G14" s="751"/>
      <c r="H14" s="751"/>
      <c r="I14" s="751"/>
      <c r="J14" s="751"/>
      <c r="K14" s="751"/>
      <c r="L14" s="751"/>
      <c r="M14" s="751"/>
      <c r="N14" s="751"/>
      <c r="O14" s="751"/>
      <c r="P14" s="751"/>
      <c r="Q14" s="751"/>
      <c r="R14" s="751"/>
      <c r="S14" s="751"/>
      <c r="T14" s="752"/>
    </row>
    <row r="15" spans="2:26" x14ac:dyDescent="0.3">
      <c r="B15" s="748"/>
      <c r="C15" s="748" t="s">
        <v>1056</v>
      </c>
      <c r="D15" s="751"/>
      <c r="E15" s="751"/>
      <c r="F15" s="751"/>
      <c r="G15" s="751"/>
      <c r="H15" s="751"/>
      <c r="I15" s="751"/>
      <c r="J15" s="751"/>
      <c r="K15" s="751"/>
      <c r="L15" s="751"/>
      <c r="M15" s="751"/>
      <c r="N15" s="751"/>
      <c r="O15" s="751"/>
      <c r="P15" s="751"/>
      <c r="Q15" s="751"/>
      <c r="R15" s="751"/>
      <c r="S15" s="751"/>
      <c r="T15" s="752"/>
    </row>
    <row r="16" spans="2:26" x14ac:dyDescent="0.3">
      <c r="B16" s="748"/>
      <c r="C16" s="748"/>
      <c r="D16" s="751"/>
      <c r="E16" s="751"/>
      <c r="F16" s="751"/>
      <c r="G16" s="751"/>
      <c r="H16" s="751"/>
      <c r="I16" s="751"/>
      <c r="J16" s="751"/>
      <c r="K16" s="751"/>
      <c r="L16" s="751"/>
      <c r="M16" s="751"/>
      <c r="N16" s="751"/>
      <c r="O16" s="751"/>
      <c r="P16" s="751"/>
      <c r="Q16" s="751"/>
      <c r="R16" s="751"/>
      <c r="S16" s="751"/>
      <c r="T16" s="752"/>
    </row>
    <row r="17" spans="2:21" s="757" customFormat="1" x14ac:dyDescent="0.3">
      <c r="B17" s="750">
        <v>1.2</v>
      </c>
      <c r="C17" s="750" t="s">
        <v>426</v>
      </c>
      <c r="D17" s="755"/>
      <c r="E17" s="755"/>
      <c r="F17" s="755"/>
      <c r="G17" s="755"/>
      <c r="H17" s="755"/>
      <c r="I17" s="755"/>
      <c r="J17" s="755"/>
      <c r="K17" s="755"/>
      <c r="L17" s="755"/>
      <c r="M17" s="755"/>
      <c r="N17" s="755"/>
      <c r="O17" s="755"/>
      <c r="P17" s="755"/>
      <c r="Q17" s="755"/>
      <c r="R17" s="755"/>
      <c r="S17" s="755"/>
      <c r="T17" s="756"/>
    </row>
    <row r="18" spans="2:21" x14ac:dyDescent="0.3">
      <c r="B18" s="748"/>
      <c r="C18" s="748" t="s">
        <v>1053</v>
      </c>
      <c r="D18" s="752"/>
      <c r="E18" s="752"/>
      <c r="F18" s="752"/>
      <c r="G18" s="752"/>
      <c r="H18" s="752"/>
      <c r="I18" s="752"/>
      <c r="J18" s="752"/>
      <c r="K18" s="752"/>
      <c r="L18" s="752"/>
      <c r="M18" s="752"/>
      <c r="N18" s="752"/>
      <c r="O18" s="752"/>
      <c r="P18" s="752"/>
      <c r="Q18" s="752"/>
      <c r="R18" s="752"/>
      <c r="S18" s="752"/>
      <c r="T18" s="752"/>
    </row>
    <row r="19" spans="2:21" x14ac:dyDescent="0.3">
      <c r="B19" s="748"/>
      <c r="C19" s="748" t="s">
        <v>1054</v>
      </c>
      <c r="D19" s="758"/>
      <c r="E19" s="758"/>
      <c r="F19" s="758"/>
      <c r="G19" s="758"/>
      <c r="H19" s="758"/>
      <c r="I19" s="758"/>
      <c r="J19" s="758"/>
      <c r="K19" s="758"/>
      <c r="L19" s="758"/>
      <c r="M19" s="758"/>
      <c r="N19" s="758"/>
      <c r="O19" s="758"/>
      <c r="P19" s="758"/>
      <c r="Q19" s="758"/>
      <c r="R19" s="758"/>
      <c r="S19" s="758"/>
      <c r="T19" s="752"/>
    </row>
    <row r="20" spans="2:21" x14ac:dyDescent="0.3">
      <c r="B20" s="748"/>
      <c r="C20" s="748" t="s">
        <v>419</v>
      </c>
      <c r="D20" s="752"/>
      <c r="E20" s="752"/>
      <c r="F20" s="752"/>
      <c r="G20" s="752"/>
      <c r="H20" s="752"/>
      <c r="I20" s="752"/>
      <c r="J20" s="752"/>
      <c r="K20" s="752"/>
      <c r="L20" s="752"/>
      <c r="M20" s="752"/>
      <c r="N20" s="752"/>
      <c r="O20" s="752"/>
      <c r="P20" s="752"/>
      <c r="Q20" s="752"/>
      <c r="R20" s="752"/>
      <c r="S20" s="752"/>
      <c r="T20" s="753"/>
      <c r="U20" s="754"/>
    </row>
    <row r="21" spans="2:21" x14ac:dyDescent="0.3">
      <c r="B21" s="748"/>
      <c r="C21" s="748" t="s">
        <v>1055</v>
      </c>
      <c r="D21" s="752"/>
      <c r="E21" s="752"/>
      <c r="F21" s="752"/>
      <c r="G21" s="752"/>
      <c r="H21" s="752"/>
      <c r="I21" s="752"/>
      <c r="J21" s="752"/>
      <c r="K21" s="752"/>
      <c r="L21" s="752"/>
      <c r="M21" s="752"/>
      <c r="N21" s="752"/>
      <c r="O21" s="752"/>
      <c r="P21" s="752"/>
      <c r="Q21" s="752"/>
      <c r="R21" s="752"/>
      <c r="S21" s="752"/>
      <c r="T21" s="752"/>
    </row>
    <row r="22" spans="2:21" x14ac:dyDescent="0.3">
      <c r="B22" s="748"/>
      <c r="C22" s="748" t="s">
        <v>1056</v>
      </c>
      <c r="D22" s="752"/>
      <c r="E22" s="752"/>
      <c r="F22" s="752"/>
      <c r="G22" s="752"/>
      <c r="H22" s="752"/>
      <c r="I22" s="752"/>
      <c r="J22" s="752"/>
      <c r="K22" s="752"/>
      <c r="L22" s="752"/>
      <c r="M22" s="752"/>
      <c r="N22" s="752"/>
      <c r="O22" s="752"/>
      <c r="P22" s="752"/>
      <c r="Q22" s="752"/>
      <c r="R22" s="752"/>
      <c r="S22" s="752"/>
      <c r="T22" s="752"/>
    </row>
    <row r="23" spans="2:21" x14ac:dyDescent="0.3">
      <c r="B23" s="748"/>
      <c r="C23" s="748"/>
      <c r="D23" s="752"/>
      <c r="E23" s="752"/>
      <c r="F23" s="752"/>
      <c r="G23" s="752"/>
      <c r="H23" s="752"/>
      <c r="I23" s="752"/>
      <c r="J23" s="752"/>
      <c r="K23" s="752"/>
      <c r="L23" s="752"/>
      <c r="M23" s="752"/>
      <c r="N23" s="752"/>
      <c r="O23" s="752"/>
      <c r="P23" s="752"/>
      <c r="Q23" s="752"/>
      <c r="R23" s="752"/>
      <c r="S23" s="752"/>
      <c r="T23" s="752"/>
    </row>
    <row r="24" spans="2:21" x14ac:dyDescent="0.3">
      <c r="B24" s="750">
        <v>1.3</v>
      </c>
      <c r="C24" s="750" t="s">
        <v>1057</v>
      </c>
      <c r="D24" s="752"/>
      <c r="E24" s="752"/>
      <c r="F24" s="752"/>
      <c r="G24" s="752"/>
      <c r="H24" s="752"/>
      <c r="I24" s="752"/>
      <c r="J24" s="752"/>
      <c r="K24" s="752"/>
      <c r="L24" s="752"/>
      <c r="M24" s="752"/>
      <c r="N24" s="752"/>
      <c r="O24" s="752"/>
      <c r="P24" s="752"/>
      <c r="Q24" s="752"/>
      <c r="R24" s="752"/>
      <c r="S24" s="752"/>
      <c r="T24" s="752"/>
    </row>
    <row r="25" spans="2:21" x14ac:dyDescent="0.3">
      <c r="B25" s="748"/>
      <c r="C25" s="748" t="s">
        <v>1053</v>
      </c>
      <c r="D25" s="752"/>
      <c r="E25" s="752"/>
      <c r="F25" s="752"/>
      <c r="G25" s="752"/>
      <c r="H25" s="752"/>
      <c r="I25" s="752"/>
      <c r="J25" s="752"/>
      <c r="K25" s="752"/>
      <c r="L25" s="752"/>
      <c r="M25" s="752"/>
      <c r="N25" s="752"/>
      <c r="O25" s="752"/>
      <c r="P25" s="752"/>
      <c r="Q25" s="752"/>
      <c r="R25" s="752"/>
      <c r="S25" s="752"/>
      <c r="T25" s="752"/>
    </row>
    <row r="26" spans="2:21" x14ac:dyDescent="0.3">
      <c r="B26" s="748"/>
      <c r="C26" s="748" t="s">
        <v>1054</v>
      </c>
      <c r="D26" s="758"/>
      <c r="E26" s="758"/>
      <c r="F26" s="758"/>
      <c r="G26" s="758"/>
      <c r="H26" s="758"/>
      <c r="I26" s="758"/>
      <c r="J26" s="758"/>
      <c r="K26" s="758"/>
      <c r="L26" s="758"/>
      <c r="M26" s="758"/>
      <c r="N26" s="758"/>
      <c r="O26" s="758"/>
      <c r="P26" s="758"/>
      <c r="Q26" s="758"/>
      <c r="R26" s="758"/>
      <c r="S26" s="758"/>
      <c r="T26" s="753"/>
    </row>
    <row r="27" spans="2:21" x14ac:dyDescent="0.3">
      <c r="B27" s="748"/>
      <c r="C27" s="748" t="s">
        <v>419</v>
      </c>
      <c r="D27" s="752"/>
      <c r="E27" s="752"/>
      <c r="F27" s="752"/>
      <c r="G27" s="752"/>
      <c r="H27" s="752"/>
      <c r="I27" s="752"/>
      <c r="J27" s="752"/>
      <c r="K27" s="752"/>
      <c r="L27" s="752"/>
      <c r="M27" s="752"/>
      <c r="N27" s="752"/>
      <c r="O27" s="752"/>
      <c r="P27" s="752"/>
      <c r="Q27" s="752"/>
      <c r="R27" s="752"/>
      <c r="S27" s="752"/>
      <c r="T27" s="753"/>
      <c r="U27" s="754"/>
    </row>
    <row r="28" spans="2:21" x14ac:dyDescent="0.3">
      <c r="B28" s="748"/>
      <c r="C28" s="748" t="s">
        <v>1055</v>
      </c>
      <c r="D28" s="752"/>
      <c r="E28" s="752"/>
      <c r="F28" s="752"/>
      <c r="G28" s="752"/>
      <c r="H28" s="752"/>
      <c r="I28" s="752"/>
      <c r="J28" s="752"/>
      <c r="K28" s="752"/>
      <c r="L28" s="752"/>
      <c r="M28" s="752"/>
      <c r="N28" s="752"/>
      <c r="O28" s="752"/>
      <c r="P28" s="752"/>
      <c r="Q28" s="752"/>
      <c r="R28" s="752"/>
      <c r="S28" s="752"/>
      <c r="T28" s="752"/>
    </row>
    <row r="29" spans="2:21" ht="29.4" customHeight="1" x14ac:dyDescent="0.3">
      <c r="B29" s="748"/>
      <c r="C29" s="759" t="s">
        <v>1056</v>
      </c>
      <c r="D29" s="752"/>
      <c r="E29" s="752"/>
      <c r="F29" s="752"/>
      <c r="G29" s="752"/>
      <c r="H29" s="752"/>
      <c r="I29" s="752"/>
      <c r="J29" s="752"/>
      <c r="K29" s="752"/>
      <c r="L29" s="752"/>
      <c r="M29" s="752"/>
      <c r="N29" s="752"/>
      <c r="O29" s="752"/>
      <c r="P29" s="752"/>
      <c r="Q29" s="752"/>
      <c r="R29" s="752"/>
      <c r="S29" s="752"/>
      <c r="T29" s="752"/>
    </row>
    <row r="30" spans="2:21" x14ac:dyDescent="0.3">
      <c r="B30" s="748"/>
      <c r="C30" s="748"/>
      <c r="D30" s="752"/>
      <c r="E30" s="752"/>
      <c r="F30" s="752"/>
      <c r="G30" s="752"/>
      <c r="H30" s="752"/>
      <c r="I30" s="752"/>
      <c r="J30" s="752"/>
      <c r="K30" s="752"/>
      <c r="L30" s="752"/>
      <c r="M30" s="752"/>
      <c r="N30" s="752"/>
      <c r="O30" s="752"/>
      <c r="P30" s="752"/>
      <c r="Q30" s="752"/>
      <c r="R30" s="752"/>
      <c r="S30" s="752"/>
      <c r="T30" s="752"/>
    </row>
    <row r="31" spans="2:21" x14ac:dyDescent="0.3">
      <c r="B31" s="748"/>
      <c r="C31" s="748"/>
      <c r="D31" s="752"/>
      <c r="E31" s="752"/>
      <c r="F31" s="752"/>
      <c r="G31" s="752"/>
      <c r="H31" s="752"/>
      <c r="I31" s="752"/>
      <c r="J31" s="752"/>
      <c r="K31" s="752"/>
      <c r="L31" s="752"/>
      <c r="M31" s="752"/>
      <c r="N31" s="752"/>
      <c r="O31" s="752"/>
      <c r="P31" s="752"/>
      <c r="Q31" s="752"/>
      <c r="R31" s="752"/>
      <c r="S31" s="752"/>
      <c r="T31" s="752"/>
    </row>
    <row r="32" spans="2:21" x14ac:dyDescent="0.3">
      <c r="B32" s="749">
        <v>1.4</v>
      </c>
      <c r="C32" s="750" t="s">
        <v>1058</v>
      </c>
      <c r="D32" s="752"/>
      <c r="E32" s="752"/>
      <c r="F32" s="752"/>
      <c r="G32" s="752"/>
      <c r="H32" s="752"/>
      <c r="I32" s="752"/>
      <c r="J32" s="752"/>
      <c r="K32" s="752"/>
      <c r="L32" s="752"/>
      <c r="M32" s="752"/>
      <c r="N32" s="752"/>
      <c r="O32" s="752"/>
      <c r="P32" s="752"/>
      <c r="Q32" s="752"/>
      <c r="R32" s="752"/>
      <c r="S32" s="752"/>
      <c r="T32" s="752"/>
    </row>
    <row r="33" spans="2:21" x14ac:dyDescent="0.3">
      <c r="B33" s="748"/>
      <c r="C33" s="748" t="s">
        <v>1053</v>
      </c>
      <c r="D33" s="758"/>
      <c r="E33" s="758"/>
      <c r="F33" s="758"/>
      <c r="G33" s="758"/>
      <c r="H33" s="758"/>
      <c r="I33" s="758"/>
      <c r="J33" s="758"/>
      <c r="K33" s="758"/>
      <c r="L33" s="758"/>
      <c r="M33" s="758"/>
      <c r="N33" s="758"/>
      <c r="O33" s="758"/>
      <c r="P33" s="758"/>
      <c r="Q33" s="758"/>
      <c r="R33" s="758"/>
      <c r="S33" s="758"/>
      <c r="T33" s="752"/>
    </row>
    <row r="34" spans="2:21" x14ac:dyDescent="0.3">
      <c r="B34" s="748"/>
      <c r="C34" s="748" t="s">
        <v>1054</v>
      </c>
      <c r="D34" s="758"/>
      <c r="E34" s="758"/>
      <c r="F34" s="758"/>
      <c r="G34" s="758"/>
      <c r="H34" s="758"/>
      <c r="I34" s="758"/>
      <c r="J34" s="758"/>
      <c r="K34" s="758"/>
      <c r="L34" s="758"/>
      <c r="M34" s="758"/>
      <c r="N34" s="758"/>
      <c r="O34" s="758"/>
      <c r="P34" s="758"/>
      <c r="Q34" s="758"/>
      <c r="R34" s="758"/>
      <c r="S34" s="758"/>
      <c r="T34" s="752"/>
    </row>
    <row r="35" spans="2:21" x14ac:dyDescent="0.3">
      <c r="B35" s="748"/>
      <c r="C35" s="748" t="s">
        <v>419</v>
      </c>
      <c r="D35" s="758"/>
      <c r="E35" s="758"/>
      <c r="F35" s="758"/>
      <c r="G35" s="758"/>
      <c r="H35" s="758"/>
      <c r="I35" s="758"/>
      <c r="J35" s="758"/>
      <c r="K35" s="758"/>
      <c r="L35" s="758"/>
      <c r="M35" s="758"/>
      <c r="N35" s="758"/>
      <c r="O35" s="758"/>
      <c r="P35" s="758"/>
      <c r="Q35" s="758"/>
      <c r="R35" s="758"/>
      <c r="S35" s="758"/>
      <c r="T35" s="752"/>
    </row>
    <row r="36" spans="2:21" x14ac:dyDescent="0.3">
      <c r="B36" s="748"/>
      <c r="C36" s="748" t="s">
        <v>1055</v>
      </c>
      <c r="D36" s="758"/>
      <c r="E36" s="758"/>
      <c r="F36" s="758"/>
      <c r="G36" s="758"/>
      <c r="H36" s="758"/>
      <c r="I36" s="758"/>
      <c r="J36" s="758"/>
      <c r="K36" s="758"/>
      <c r="L36" s="758"/>
      <c r="M36" s="758"/>
      <c r="N36" s="758"/>
      <c r="O36" s="758"/>
      <c r="P36" s="758"/>
      <c r="Q36" s="758"/>
      <c r="R36" s="758"/>
      <c r="S36" s="758"/>
      <c r="T36" s="752"/>
    </row>
    <row r="37" spans="2:21" x14ac:dyDescent="0.3">
      <c r="B37" s="748"/>
      <c r="C37" s="748" t="s">
        <v>1056</v>
      </c>
      <c r="D37" s="752"/>
      <c r="E37" s="752"/>
      <c r="F37" s="752"/>
      <c r="G37" s="752"/>
      <c r="H37" s="752"/>
      <c r="I37" s="752"/>
      <c r="J37" s="752"/>
      <c r="K37" s="752"/>
      <c r="L37" s="752"/>
      <c r="M37" s="752"/>
      <c r="N37" s="752"/>
      <c r="O37" s="752"/>
      <c r="P37" s="752"/>
      <c r="Q37" s="752"/>
      <c r="R37" s="752"/>
      <c r="S37" s="752"/>
      <c r="T37" s="752"/>
    </row>
    <row r="38" spans="2:21" x14ac:dyDescent="0.3">
      <c r="B38" s="748"/>
      <c r="C38" s="748"/>
      <c r="D38" s="752"/>
      <c r="E38" s="752"/>
      <c r="F38" s="752"/>
      <c r="G38" s="752"/>
      <c r="H38" s="752"/>
      <c r="I38" s="752"/>
      <c r="J38" s="752"/>
      <c r="K38" s="752"/>
      <c r="L38" s="752"/>
      <c r="M38" s="752"/>
      <c r="N38" s="752"/>
      <c r="O38" s="752"/>
      <c r="P38" s="752"/>
      <c r="Q38" s="752"/>
      <c r="R38" s="752"/>
      <c r="S38" s="752"/>
      <c r="T38" s="752"/>
    </row>
    <row r="39" spans="2:21" x14ac:dyDescent="0.3">
      <c r="B39" s="748">
        <v>2</v>
      </c>
      <c r="C39" s="750" t="s">
        <v>1059</v>
      </c>
      <c r="D39" s="752"/>
      <c r="E39" s="752"/>
      <c r="F39" s="752"/>
      <c r="G39" s="752"/>
      <c r="H39" s="752"/>
      <c r="I39" s="752"/>
      <c r="J39" s="752"/>
      <c r="K39" s="752"/>
      <c r="L39" s="752"/>
      <c r="M39" s="752"/>
      <c r="N39" s="752"/>
      <c r="O39" s="752"/>
      <c r="P39" s="752"/>
      <c r="Q39" s="752"/>
      <c r="R39" s="752"/>
      <c r="S39" s="752"/>
      <c r="T39" s="760">
        <f>SUM(D39:S39)</f>
        <v>0</v>
      </c>
    </row>
    <row r="40" spans="2:21" x14ac:dyDescent="0.3">
      <c r="B40" s="748"/>
      <c r="C40" s="761" t="s">
        <v>1060</v>
      </c>
      <c r="D40" s="758"/>
      <c r="E40" s="758"/>
      <c r="F40" s="758"/>
      <c r="G40" s="758"/>
      <c r="H40" s="758"/>
      <c r="I40" s="758"/>
      <c r="J40" s="758"/>
      <c r="K40" s="758"/>
      <c r="L40" s="758"/>
      <c r="M40" s="758"/>
      <c r="N40" s="758"/>
      <c r="O40" s="758"/>
      <c r="P40" s="758"/>
      <c r="Q40" s="758"/>
      <c r="R40" s="758"/>
      <c r="S40" s="758"/>
      <c r="T40" s="752"/>
    </row>
    <row r="41" spans="2:21" x14ac:dyDescent="0.3">
      <c r="B41" s="748"/>
      <c r="C41" s="761" t="s">
        <v>1061</v>
      </c>
      <c r="D41" s="758"/>
      <c r="E41" s="758"/>
      <c r="F41" s="758"/>
      <c r="G41" s="758"/>
      <c r="H41" s="758"/>
      <c r="I41" s="758"/>
      <c r="J41" s="758"/>
      <c r="K41" s="758"/>
      <c r="L41" s="758"/>
      <c r="M41" s="758"/>
      <c r="N41" s="758"/>
      <c r="O41" s="758"/>
      <c r="P41" s="758"/>
      <c r="Q41" s="758"/>
      <c r="R41" s="758"/>
      <c r="S41" s="758"/>
      <c r="T41" s="752"/>
    </row>
    <row r="42" spans="2:21" x14ac:dyDescent="0.3">
      <c r="B42" s="748"/>
      <c r="C42" s="750" t="s">
        <v>1062</v>
      </c>
      <c r="D42" s="758"/>
      <c r="E42" s="758"/>
      <c r="F42" s="758"/>
      <c r="G42" s="758"/>
      <c r="H42" s="758"/>
      <c r="I42" s="758"/>
      <c r="J42" s="758"/>
      <c r="K42" s="758"/>
      <c r="L42" s="758"/>
      <c r="M42" s="758"/>
      <c r="N42" s="758"/>
      <c r="O42" s="758"/>
      <c r="P42" s="758"/>
      <c r="Q42" s="758"/>
      <c r="R42" s="758"/>
      <c r="S42" s="758"/>
      <c r="T42" s="752"/>
      <c r="U42" s="754"/>
    </row>
    <row r="51" spans="9:11" x14ac:dyDescent="0.3">
      <c r="I51" s="754"/>
      <c r="K51" s="754"/>
    </row>
    <row r="52" spans="9:11" x14ac:dyDescent="0.3">
      <c r="I52" s="754"/>
      <c r="K52" s="754"/>
    </row>
    <row r="53" spans="9:11" x14ac:dyDescent="0.3">
      <c r="I53" s="754"/>
      <c r="K53" s="754"/>
    </row>
    <row r="54" spans="9:11" x14ac:dyDescent="0.3">
      <c r="I54" s="754"/>
      <c r="K54" s="754"/>
    </row>
    <row r="55" spans="9:11" x14ac:dyDescent="0.3">
      <c r="K55" s="754"/>
    </row>
  </sheetData>
  <mergeCells count="5">
    <mergeCell ref="B6:B8"/>
    <mergeCell ref="D6:G6"/>
    <mergeCell ref="H6:K6"/>
    <mergeCell ref="L6:O6"/>
    <mergeCell ref="P6:S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AJ329"/>
  <sheetViews>
    <sheetView workbookViewId="0">
      <selection activeCell="F15" sqref="F15"/>
    </sheetView>
  </sheetViews>
  <sheetFormatPr defaultColWidth="8.6328125" defaultRowHeight="12.5" x14ac:dyDescent="0.25"/>
  <cols>
    <col min="1" max="1" width="14.6328125" style="667" customWidth="1"/>
    <col min="2" max="2" width="32.6328125" style="688" bestFit="1" customWidth="1"/>
    <col min="3" max="3" width="23.08984375" style="667" customWidth="1"/>
    <col min="4" max="4" width="19.6328125" style="667" customWidth="1"/>
    <col min="5" max="5" width="19" style="667" customWidth="1"/>
    <col min="6" max="14" width="22.36328125" style="667" customWidth="1"/>
    <col min="15" max="15" width="23.453125" style="667" customWidth="1"/>
    <col min="16" max="33" width="22.36328125" style="667" customWidth="1"/>
    <col min="34" max="34" width="9.36328125" style="667" bestFit="1" customWidth="1"/>
    <col min="35" max="35" width="25.6328125" style="667" customWidth="1"/>
    <col min="36" max="36" width="22.36328125" style="667" customWidth="1"/>
    <col min="37" max="16384" width="8.6328125" style="667"/>
  </cols>
  <sheetData>
    <row r="2" spans="1:33" ht="14.15" customHeight="1" x14ac:dyDescent="0.25">
      <c r="A2" s="1757"/>
      <c r="B2" s="1688"/>
      <c r="C2" s="1688"/>
      <c r="D2" s="1688"/>
      <c r="E2" s="1688"/>
      <c r="F2" s="1688"/>
      <c r="G2" s="1688"/>
      <c r="H2" s="1688"/>
      <c r="I2" s="1688"/>
      <c r="J2" s="1688"/>
      <c r="K2" s="1688"/>
      <c r="L2" s="1688"/>
      <c r="M2" s="1688"/>
      <c r="N2" s="1688"/>
      <c r="O2" s="1688"/>
      <c r="P2" s="1688"/>
      <c r="Q2" s="1688"/>
      <c r="R2" s="1688"/>
      <c r="S2" s="1688"/>
      <c r="T2" s="1688"/>
    </row>
    <row r="3" spans="1:33" ht="14.15" customHeight="1" x14ac:dyDescent="0.25">
      <c r="A3" s="1757" t="s">
        <v>1001</v>
      </c>
      <c r="B3" s="1688"/>
      <c r="C3" s="1688"/>
      <c r="D3" s="1688"/>
      <c r="E3" s="1688"/>
      <c r="F3" s="1688"/>
      <c r="G3" s="1688"/>
      <c r="H3" s="1688"/>
      <c r="I3" s="1688"/>
      <c r="J3" s="1688"/>
      <c r="K3" s="1688"/>
      <c r="L3" s="1688"/>
      <c r="M3" s="1688"/>
      <c r="N3" s="1688"/>
      <c r="O3" s="1688"/>
      <c r="P3" s="1688"/>
      <c r="Q3" s="1688"/>
      <c r="R3" s="1688"/>
      <c r="S3" s="1688"/>
      <c r="T3" s="1688"/>
    </row>
    <row r="4" spans="1:33" ht="14.15" customHeight="1" x14ac:dyDescent="0.25">
      <c r="A4" s="1777" t="s">
        <v>1002</v>
      </c>
      <c r="B4" s="1689"/>
      <c r="C4" s="1689"/>
      <c r="D4" s="1689"/>
      <c r="E4" s="1689"/>
      <c r="F4" s="1689"/>
      <c r="G4" s="1689"/>
      <c r="H4" s="1689"/>
      <c r="I4" s="1689"/>
      <c r="J4" s="1689"/>
      <c r="K4" s="1689"/>
      <c r="L4" s="1689"/>
      <c r="M4" s="1689"/>
      <c r="N4" s="1689"/>
      <c r="O4" s="1689"/>
      <c r="P4" s="1689"/>
      <c r="Q4" s="1689"/>
      <c r="R4" s="1689"/>
      <c r="S4" s="1689"/>
      <c r="T4" s="1689"/>
    </row>
    <row r="5" spans="1:33" ht="13" x14ac:dyDescent="0.3">
      <c r="B5" s="668" t="s">
        <v>525</v>
      </c>
      <c r="F5" s="669" t="s">
        <v>10</v>
      </c>
    </row>
    <row r="6" spans="1:33" ht="26.15" customHeight="1" x14ac:dyDescent="0.35">
      <c r="A6" s="670"/>
      <c r="B6" s="1778" t="s">
        <v>418</v>
      </c>
      <c r="C6" s="1780" t="s">
        <v>774</v>
      </c>
      <c r="D6" s="1780" t="s">
        <v>527</v>
      </c>
      <c r="E6" s="1780" t="s">
        <v>598</v>
      </c>
      <c r="F6" s="1782" t="s">
        <v>599</v>
      </c>
      <c r="G6" s="1783"/>
      <c r="H6" s="1783"/>
      <c r="I6" s="1783"/>
      <c r="J6" s="1783"/>
      <c r="K6" s="1783"/>
      <c r="L6" s="1783"/>
      <c r="M6" s="1783"/>
      <c r="N6" s="1783"/>
      <c r="O6" s="1783"/>
      <c r="P6" s="1783"/>
      <c r="Q6" s="1783"/>
      <c r="R6" s="1783"/>
      <c r="S6" s="1783"/>
      <c r="T6" s="1783"/>
      <c r="U6" s="1783"/>
      <c r="V6" s="1783"/>
      <c r="W6" s="1783"/>
      <c r="X6" s="1783"/>
      <c r="Y6" s="1783"/>
      <c r="Z6" s="1783"/>
      <c r="AA6" s="1783"/>
      <c r="AB6" s="1783"/>
      <c r="AC6" s="1783"/>
      <c r="AD6" s="1784"/>
      <c r="AE6" s="671" t="s">
        <v>549</v>
      </c>
      <c r="AF6" s="671" t="s">
        <v>542</v>
      </c>
      <c r="AG6" s="671" t="s">
        <v>550</v>
      </c>
    </row>
    <row r="7" spans="1:33" ht="12.9" customHeight="1" x14ac:dyDescent="0.25">
      <c r="A7" s="670"/>
      <c r="B7" s="1779"/>
      <c r="C7" s="1781"/>
      <c r="D7" s="1781"/>
      <c r="E7" s="1781"/>
      <c r="F7" s="672" t="s">
        <v>528</v>
      </c>
      <c r="G7" s="672" t="s">
        <v>529</v>
      </c>
      <c r="H7" s="672" t="s">
        <v>530</v>
      </c>
      <c r="I7" s="672" t="s">
        <v>531</v>
      </c>
      <c r="J7" s="672" t="s">
        <v>532</v>
      </c>
      <c r="K7" s="672" t="s">
        <v>533</v>
      </c>
      <c r="L7" s="672" t="s">
        <v>534</v>
      </c>
      <c r="M7" s="672" t="s">
        <v>535</v>
      </c>
      <c r="N7" s="672" t="s">
        <v>536</v>
      </c>
      <c r="O7" s="672" t="s">
        <v>537</v>
      </c>
      <c r="P7" s="672" t="s">
        <v>538</v>
      </c>
      <c r="Q7" s="672" t="s">
        <v>539</v>
      </c>
      <c r="R7" s="672" t="s">
        <v>540</v>
      </c>
      <c r="S7" s="672" t="s">
        <v>541</v>
      </c>
      <c r="T7" s="672" t="s">
        <v>326</v>
      </c>
      <c r="U7" s="672" t="s">
        <v>517</v>
      </c>
      <c r="V7" s="672" t="s">
        <v>518</v>
      </c>
      <c r="W7" s="672" t="s">
        <v>519</v>
      </c>
      <c r="X7" s="672" t="s">
        <v>520</v>
      </c>
      <c r="Y7" s="672" t="s">
        <v>521</v>
      </c>
      <c r="Z7" s="672" t="s">
        <v>940</v>
      </c>
      <c r="AA7" s="672" t="s">
        <v>941</v>
      </c>
      <c r="AB7" s="672" t="s">
        <v>945</v>
      </c>
      <c r="AC7" s="672" t="s">
        <v>942</v>
      </c>
      <c r="AD7" s="672" t="s">
        <v>944</v>
      </c>
      <c r="AE7" s="671"/>
      <c r="AF7" s="671"/>
      <c r="AG7" s="671"/>
    </row>
    <row r="8" spans="1:33" x14ac:dyDescent="0.25">
      <c r="A8" s="673" t="s">
        <v>543</v>
      </c>
      <c r="B8" s="674">
        <v>2005</v>
      </c>
      <c r="C8" s="675"/>
      <c r="D8" s="283"/>
      <c r="E8" s="283"/>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83"/>
      <c r="AF8" s="283"/>
      <c r="AG8" s="283"/>
    </row>
    <row r="9" spans="1:33" x14ac:dyDescent="0.25">
      <c r="A9" s="673" t="s">
        <v>544</v>
      </c>
      <c r="B9" s="674" t="s">
        <v>528</v>
      </c>
      <c r="C9" s="673"/>
      <c r="D9" s="283"/>
      <c r="E9" s="283"/>
      <c r="F9" s="285"/>
      <c r="G9" s="294"/>
      <c r="H9" s="294"/>
      <c r="I9" s="294"/>
      <c r="J9" s="294"/>
      <c r="K9" s="294"/>
      <c r="L9" s="294"/>
      <c r="M9" s="294"/>
      <c r="N9" s="294"/>
      <c r="O9" s="294"/>
      <c r="P9" s="294"/>
      <c r="Q9" s="294"/>
      <c r="R9" s="294"/>
      <c r="S9" s="294"/>
      <c r="T9" s="294"/>
      <c r="U9" s="294"/>
      <c r="V9" s="294"/>
      <c r="W9" s="294"/>
      <c r="X9" s="294"/>
      <c r="Y9" s="294"/>
      <c r="Z9" s="294"/>
      <c r="AA9" s="294"/>
      <c r="AB9" s="294"/>
      <c r="AC9" s="294"/>
      <c r="AD9" s="294"/>
      <c r="AE9" s="283"/>
      <c r="AF9" s="283"/>
      <c r="AG9" s="283"/>
    </row>
    <row r="10" spans="1:33" x14ac:dyDescent="0.25">
      <c r="A10" s="673" t="s">
        <v>544</v>
      </c>
      <c r="B10" s="674" t="s">
        <v>529</v>
      </c>
      <c r="C10" s="673"/>
      <c r="D10" s="283"/>
      <c r="E10" s="283"/>
      <c r="F10" s="295"/>
      <c r="G10" s="285"/>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83"/>
      <c r="AF10" s="283"/>
      <c r="AG10" s="283"/>
    </row>
    <row r="11" spans="1:33" x14ac:dyDescent="0.25">
      <c r="A11" s="673" t="s">
        <v>544</v>
      </c>
      <c r="B11" s="674" t="s">
        <v>530</v>
      </c>
      <c r="C11" s="673"/>
      <c r="D11" s="283"/>
      <c r="E11" s="283"/>
      <c r="F11" s="295"/>
      <c r="G11" s="295"/>
      <c r="H11" s="285"/>
      <c r="I11" s="294"/>
      <c r="J11" s="294"/>
      <c r="K11" s="294"/>
      <c r="L11" s="294"/>
      <c r="M11" s="294"/>
      <c r="N11" s="294"/>
      <c r="O11" s="294"/>
      <c r="P11" s="294"/>
      <c r="Q11" s="294"/>
      <c r="R11" s="294"/>
      <c r="S11" s="294"/>
      <c r="T11" s="294"/>
      <c r="U11" s="294"/>
      <c r="V11" s="294"/>
      <c r="W11" s="294"/>
      <c r="X11" s="294"/>
      <c r="Y11" s="294"/>
      <c r="Z11" s="294"/>
      <c r="AA11" s="294"/>
      <c r="AB11" s="294"/>
      <c r="AC11" s="294"/>
      <c r="AD11" s="294"/>
      <c r="AE11" s="283"/>
      <c r="AF11" s="283"/>
      <c r="AG11" s="283"/>
    </row>
    <row r="12" spans="1:33" x14ac:dyDescent="0.25">
      <c r="A12" s="673" t="s">
        <v>544</v>
      </c>
      <c r="B12" s="674" t="s">
        <v>531</v>
      </c>
      <c r="C12" s="673"/>
      <c r="D12" s="283"/>
      <c r="E12" s="283"/>
      <c r="F12" s="295"/>
      <c r="G12" s="295"/>
      <c r="H12" s="295"/>
      <c r="I12" s="285"/>
      <c r="J12" s="294"/>
      <c r="K12" s="294"/>
      <c r="L12" s="294"/>
      <c r="M12" s="294"/>
      <c r="N12" s="294"/>
      <c r="O12" s="294"/>
      <c r="P12" s="294"/>
      <c r="Q12" s="294"/>
      <c r="R12" s="294"/>
      <c r="S12" s="294"/>
      <c r="T12" s="294"/>
      <c r="U12" s="294"/>
      <c r="V12" s="294"/>
      <c r="W12" s="294"/>
      <c r="X12" s="294"/>
      <c r="Y12" s="294"/>
      <c r="Z12" s="294"/>
      <c r="AA12" s="294"/>
      <c r="AB12" s="294"/>
      <c r="AC12" s="294"/>
      <c r="AD12" s="294"/>
      <c r="AE12" s="283"/>
      <c r="AF12" s="283"/>
      <c r="AG12" s="283"/>
    </row>
    <row r="13" spans="1:33" x14ac:dyDescent="0.25">
      <c r="A13" s="673" t="s">
        <v>544</v>
      </c>
      <c r="B13" s="674" t="s">
        <v>532</v>
      </c>
      <c r="C13" s="673"/>
      <c r="D13" s="283"/>
      <c r="E13" s="283"/>
      <c r="F13" s="295"/>
      <c r="G13" s="295"/>
      <c r="H13" s="295"/>
      <c r="I13" s="295"/>
      <c r="J13" s="285"/>
      <c r="K13" s="294"/>
      <c r="L13" s="294"/>
      <c r="M13" s="294"/>
      <c r="N13" s="294"/>
      <c r="O13" s="294"/>
      <c r="P13" s="294"/>
      <c r="Q13" s="294"/>
      <c r="R13" s="294"/>
      <c r="S13" s="294"/>
      <c r="T13" s="294"/>
      <c r="U13" s="294"/>
      <c r="V13" s="294"/>
      <c r="W13" s="294"/>
      <c r="X13" s="294"/>
      <c r="Y13" s="294"/>
      <c r="Z13" s="294"/>
      <c r="AA13" s="294"/>
      <c r="AB13" s="294"/>
      <c r="AC13" s="294"/>
      <c r="AD13" s="294"/>
      <c r="AE13" s="283"/>
      <c r="AF13" s="283"/>
      <c r="AG13" s="283"/>
    </row>
    <row r="14" spans="1:33" x14ac:dyDescent="0.25">
      <c r="A14" s="673" t="s">
        <v>544</v>
      </c>
      <c r="B14" s="674" t="s">
        <v>533</v>
      </c>
      <c r="C14" s="673"/>
      <c r="D14" s="283"/>
      <c r="E14" s="283"/>
      <c r="F14" s="295"/>
      <c r="G14" s="295"/>
      <c r="H14" s="295"/>
      <c r="I14" s="295"/>
      <c r="J14" s="295"/>
      <c r="K14" s="285"/>
      <c r="L14" s="294"/>
      <c r="M14" s="294"/>
      <c r="N14" s="294"/>
      <c r="O14" s="294"/>
      <c r="P14" s="294"/>
      <c r="Q14" s="294"/>
      <c r="R14" s="294"/>
      <c r="S14" s="294"/>
      <c r="T14" s="294"/>
      <c r="U14" s="294"/>
      <c r="V14" s="294"/>
      <c r="W14" s="294"/>
      <c r="X14" s="294"/>
      <c r="Y14" s="294"/>
      <c r="Z14" s="294"/>
      <c r="AA14" s="294"/>
      <c r="AB14" s="294"/>
      <c r="AC14" s="294"/>
      <c r="AD14" s="294"/>
      <c r="AE14" s="283"/>
      <c r="AF14" s="283"/>
      <c r="AG14" s="283"/>
    </row>
    <row r="15" spans="1:33" x14ac:dyDescent="0.25">
      <c r="A15" s="673" t="s">
        <v>544</v>
      </c>
      <c r="B15" s="674" t="s">
        <v>534</v>
      </c>
      <c r="C15" s="673"/>
      <c r="D15" s="283"/>
      <c r="E15" s="283"/>
      <c r="F15" s="295"/>
      <c r="G15" s="295"/>
      <c r="H15" s="295"/>
      <c r="I15" s="295"/>
      <c r="J15" s="295"/>
      <c r="K15" s="295"/>
      <c r="L15" s="285"/>
      <c r="M15" s="294"/>
      <c r="N15" s="294"/>
      <c r="O15" s="294"/>
      <c r="P15" s="294"/>
      <c r="Q15" s="294"/>
      <c r="R15" s="294"/>
      <c r="S15" s="294"/>
      <c r="T15" s="294"/>
      <c r="U15" s="294"/>
      <c r="V15" s="294"/>
      <c r="W15" s="294"/>
      <c r="X15" s="294"/>
      <c r="Y15" s="294"/>
      <c r="Z15" s="294"/>
      <c r="AA15" s="294"/>
      <c r="AB15" s="294"/>
      <c r="AC15" s="294"/>
      <c r="AD15" s="294"/>
      <c r="AE15" s="283"/>
      <c r="AF15" s="283"/>
      <c r="AG15" s="283"/>
    </row>
    <row r="16" spans="1:33" x14ac:dyDescent="0.25">
      <c r="A16" s="673" t="s">
        <v>544</v>
      </c>
      <c r="B16" s="674" t="s">
        <v>535</v>
      </c>
      <c r="C16" s="673"/>
      <c r="D16" s="283"/>
      <c r="E16" s="283"/>
      <c r="F16" s="295"/>
      <c r="G16" s="295"/>
      <c r="H16" s="295"/>
      <c r="I16" s="295"/>
      <c r="J16" s="295"/>
      <c r="K16" s="295"/>
      <c r="L16" s="295"/>
      <c r="M16" s="285"/>
      <c r="N16" s="294"/>
      <c r="O16" s="294"/>
      <c r="P16" s="294"/>
      <c r="Q16" s="294"/>
      <c r="R16" s="294"/>
      <c r="S16" s="294"/>
      <c r="T16" s="294"/>
      <c r="U16" s="294"/>
      <c r="V16" s="294"/>
      <c r="W16" s="294"/>
      <c r="X16" s="294"/>
      <c r="Y16" s="294"/>
      <c r="Z16" s="294"/>
      <c r="AA16" s="294"/>
      <c r="AB16" s="294"/>
      <c r="AC16" s="294"/>
      <c r="AD16" s="294"/>
      <c r="AE16" s="283"/>
      <c r="AF16" s="283"/>
      <c r="AG16" s="283"/>
    </row>
    <row r="17" spans="1:33" x14ac:dyDescent="0.25">
      <c r="A17" s="673" t="s">
        <v>544</v>
      </c>
      <c r="B17" s="674" t="s">
        <v>536</v>
      </c>
      <c r="C17" s="673"/>
      <c r="D17" s="283"/>
      <c r="E17" s="283"/>
      <c r="F17" s="295"/>
      <c r="G17" s="295"/>
      <c r="H17" s="295"/>
      <c r="I17" s="295"/>
      <c r="J17" s="295"/>
      <c r="K17" s="295"/>
      <c r="L17" s="295"/>
      <c r="M17" s="295"/>
      <c r="N17" s="285"/>
      <c r="O17" s="294"/>
      <c r="P17" s="294"/>
      <c r="Q17" s="294"/>
      <c r="R17" s="294"/>
      <c r="S17" s="294"/>
      <c r="T17" s="294"/>
      <c r="U17" s="294"/>
      <c r="V17" s="294"/>
      <c r="W17" s="294"/>
      <c r="X17" s="294"/>
      <c r="Y17" s="294"/>
      <c r="Z17" s="294"/>
      <c r="AA17" s="294"/>
      <c r="AB17" s="294"/>
      <c r="AC17" s="294"/>
      <c r="AD17" s="294"/>
      <c r="AE17" s="283"/>
      <c r="AF17" s="283"/>
      <c r="AG17" s="283"/>
    </row>
    <row r="18" spans="1:33" x14ac:dyDescent="0.25">
      <c r="A18" s="673" t="s">
        <v>544</v>
      </c>
      <c r="B18" s="674" t="s">
        <v>537</v>
      </c>
      <c r="C18" s="283"/>
      <c r="D18" s="283"/>
      <c r="E18" s="283"/>
      <c r="F18" s="295"/>
      <c r="G18" s="295"/>
      <c r="H18" s="295"/>
      <c r="I18" s="295"/>
      <c r="J18" s="295"/>
      <c r="K18" s="295"/>
      <c r="L18" s="295"/>
      <c r="M18" s="295"/>
      <c r="N18" s="295"/>
      <c r="O18" s="285"/>
      <c r="P18" s="294"/>
      <c r="Q18" s="294"/>
      <c r="R18" s="294"/>
      <c r="S18" s="294"/>
      <c r="T18" s="294"/>
      <c r="U18" s="294"/>
      <c r="V18" s="294"/>
      <c r="W18" s="294"/>
      <c r="X18" s="294"/>
      <c r="Y18" s="294"/>
      <c r="Z18" s="294"/>
      <c r="AA18" s="294"/>
      <c r="AB18" s="294"/>
      <c r="AC18" s="294"/>
      <c r="AD18" s="294"/>
      <c r="AE18" s="283"/>
      <c r="AF18" s="283"/>
      <c r="AG18" s="283"/>
    </row>
    <row r="19" spans="1:33" x14ac:dyDescent="0.25">
      <c r="A19" s="673" t="s">
        <v>544</v>
      </c>
      <c r="B19" s="674" t="s">
        <v>538</v>
      </c>
      <c r="C19" s="283"/>
      <c r="D19" s="283"/>
      <c r="E19" s="283"/>
      <c r="F19" s="295"/>
      <c r="G19" s="295"/>
      <c r="H19" s="295"/>
      <c r="I19" s="295"/>
      <c r="J19" s="295"/>
      <c r="K19" s="295"/>
      <c r="L19" s="295"/>
      <c r="M19" s="295"/>
      <c r="N19" s="295"/>
      <c r="O19" s="295"/>
      <c r="P19" s="285"/>
      <c r="Q19" s="294"/>
      <c r="R19" s="294"/>
      <c r="S19" s="294"/>
      <c r="T19" s="294"/>
      <c r="U19" s="294"/>
      <c r="V19" s="294"/>
      <c r="W19" s="294"/>
      <c r="X19" s="294"/>
      <c r="Y19" s="294"/>
      <c r="Z19" s="294"/>
      <c r="AA19" s="294"/>
      <c r="AB19" s="294"/>
      <c r="AC19" s="294"/>
      <c r="AD19" s="294"/>
      <c r="AE19" s="283"/>
      <c r="AF19" s="283"/>
      <c r="AG19" s="283"/>
    </row>
    <row r="20" spans="1:33" x14ac:dyDescent="0.25">
      <c r="A20" s="673" t="s">
        <v>544</v>
      </c>
      <c r="B20" s="674" t="s">
        <v>539</v>
      </c>
      <c r="C20" s="283"/>
      <c r="D20" s="283"/>
      <c r="E20" s="283"/>
      <c r="F20" s="295"/>
      <c r="G20" s="295"/>
      <c r="H20" s="295"/>
      <c r="I20" s="295"/>
      <c r="J20" s="295"/>
      <c r="K20" s="295"/>
      <c r="L20" s="295"/>
      <c r="M20" s="295"/>
      <c r="N20" s="295"/>
      <c r="O20" s="295"/>
      <c r="P20" s="295"/>
      <c r="Q20" s="285"/>
      <c r="R20" s="294"/>
      <c r="S20" s="294"/>
      <c r="T20" s="294"/>
      <c r="U20" s="294"/>
      <c r="V20" s="294"/>
      <c r="W20" s="294"/>
      <c r="X20" s="294"/>
      <c r="Y20" s="294"/>
      <c r="Z20" s="294"/>
      <c r="AA20" s="294"/>
      <c r="AB20" s="294"/>
      <c r="AC20" s="294"/>
      <c r="AD20" s="294"/>
      <c r="AE20" s="283"/>
      <c r="AF20" s="283"/>
      <c r="AG20" s="283"/>
    </row>
    <row r="21" spans="1:33" x14ac:dyDescent="0.25">
      <c r="A21" s="673" t="s">
        <v>544</v>
      </c>
      <c r="B21" s="674" t="s">
        <v>540</v>
      </c>
      <c r="C21" s="283"/>
      <c r="D21" s="283"/>
      <c r="E21" s="283"/>
      <c r="F21" s="295"/>
      <c r="G21" s="295"/>
      <c r="H21" s="295"/>
      <c r="I21" s="295"/>
      <c r="J21" s="295"/>
      <c r="K21" s="295"/>
      <c r="L21" s="295"/>
      <c r="M21" s="295"/>
      <c r="N21" s="295"/>
      <c r="O21" s="295"/>
      <c r="P21" s="295"/>
      <c r="Q21" s="295"/>
      <c r="R21" s="285"/>
      <c r="S21" s="294"/>
      <c r="T21" s="294"/>
      <c r="U21" s="294"/>
      <c r="V21" s="294"/>
      <c r="W21" s="294"/>
      <c r="X21" s="294"/>
      <c r="Y21" s="294"/>
      <c r="Z21" s="294"/>
      <c r="AA21" s="294"/>
      <c r="AB21" s="294"/>
      <c r="AC21" s="294"/>
      <c r="AD21" s="294"/>
      <c r="AE21" s="283"/>
      <c r="AF21" s="283"/>
      <c r="AG21" s="283"/>
    </row>
    <row r="22" spans="1:33" x14ac:dyDescent="0.25">
      <c r="A22" s="673" t="s">
        <v>544</v>
      </c>
      <c r="B22" s="674" t="s">
        <v>541</v>
      </c>
      <c r="C22" s="283"/>
      <c r="D22" s="283"/>
      <c r="E22" s="283"/>
      <c r="F22" s="295"/>
      <c r="G22" s="295"/>
      <c r="H22" s="295"/>
      <c r="I22" s="295"/>
      <c r="J22" s="295"/>
      <c r="K22" s="295"/>
      <c r="L22" s="295"/>
      <c r="M22" s="295"/>
      <c r="N22" s="295"/>
      <c r="O22" s="295"/>
      <c r="P22" s="295"/>
      <c r="Q22" s="295"/>
      <c r="R22" s="295"/>
      <c r="S22" s="285"/>
      <c r="T22" s="294"/>
      <c r="U22" s="294"/>
      <c r="V22" s="294"/>
      <c r="W22" s="294"/>
      <c r="X22" s="294"/>
      <c r="Y22" s="294"/>
      <c r="Z22" s="294"/>
      <c r="AA22" s="294"/>
      <c r="AB22" s="294"/>
      <c r="AC22" s="294"/>
      <c r="AD22" s="294"/>
      <c r="AE22" s="283"/>
      <c r="AF22" s="283"/>
      <c r="AG22" s="283"/>
    </row>
    <row r="23" spans="1:33" x14ac:dyDescent="0.25">
      <c r="A23" s="673" t="s">
        <v>544</v>
      </c>
      <c r="B23" s="674" t="s">
        <v>545</v>
      </c>
      <c r="C23" s="283"/>
      <c r="D23" s="283"/>
      <c r="E23" s="283"/>
      <c r="F23" s="295"/>
      <c r="G23" s="295"/>
      <c r="H23" s="295"/>
      <c r="I23" s="295"/>
      <c r="J23" s="295"/>
      <c r="K23" s="295"/>
      <c r="L23" s="295"/>
      <c r="M23" s="295"/>
      <c r="N23" s="295"/>
      <c r="O23" s="295"/>
      <c r="P23" s="295"/>
      <c r="Q23" s="295"/>
      <c r="R23" s="295"/>
      <c r="S23" s="295"/>
      <c r="T23" s="285"/>
      <c r="U23" s="294"/>
      <c r="V23" s="294"/>
      <c r="W23" s="294"/>
      <c r="X23" s="294"/>
      <c r="Y23" s="294"/>
      <c r="Z23" s="294"/>
      <c r="AA23" s="294"/>
      <c r="AB23" s="294"/>
      <c r="AC23" s="294"/>
      <c r="AD23" s="294"/>
      <c r="AE23" s="283"/>
      <c r="AF23" s="283"/>
      <c r="AG23" s="283"/>
    </row>
    <row r="24" spans="1:33" x14ac:dyDescent="0.25">
      <c r="A24" s="673" t="s">
        <v>544</v>
      </c>
      <c r="B24" s="674" t="s">
        <v>546</v>
      </c>
      <c r="C24" s="283"/>
      <c r="D24" s="283"/>
      <c r="E24" s="283"/>
      <c r="F24" s="295"/>
      <c r="G24" s="295"/>
      <c r="H24" s="295"/>
      <c r="I24" s="295"/>
      <c r="J24" s="295"/>
      <c r="K24" s="295"/>
      <c r="L24" s="295"/>
      <c r="M24" s="295"/>
      <c r="N24" s="295"/>
      <c r="O24" s="295"/>
      <c r="P24" s="295"/>
      <c r="Q24" s="295"/>
      <c r="R24" s="295"/>
      <c r="S24" s="295"/>
      <c r="T24" s="295"/>
      <c r="U24" s="285"/>
      <c r="V24" s="294"/>
      <c r="W24" s="294"/>
      <c r="X24" s="294"/>
      <c r="Y24" s="294"/>
      <c r="Z24" s="294"/>
      <c r="AA24" s="294"/>
      <c r="AB24" s="294"/>
      <c r="AC24" s="294"/>
      <c r="AD24" s="294"/>
      <c r="AE24" s="283"/>
      <c r="AF24" s="283"/>
      <c r="AG24" s="283"/>
    </row>
    <row r="25" spans="1:33" x14ac:dyDescent="0.25">
      <c r="A25" s="673" t="s">
        <v>544</v>
      </c>
      <c r="B25" s="674" t="s">
        <v>547</v>
      </c>
      <c r="C25" s="283"/>
      <c r="D25" s="283"/>
      <c r="E25" s="283"/>
      <c r="F25" s="295"/>
      <c r="G25" s="295"/>
      <c r="H25" s="295"/>
      <c r="I25" s="295"/>
      <c r="J25" s="295"/>
      <c r="K25" s="295"/>
      <c r="L25" s="295"/>
      <c r="M25" s="295"/>
      <c r="N25" s="295"/>
      <c r="O25" s="295"/>
      <c r="P25" s="295"/>
      <c r="Q25" s="295"/>
      <c r="R25" s="295"/>
      <c r="S25" s="295"/>
      <c r="T25" s="295"/>
      <c r="U25" s="295"/>
      <c r="V25" s="285"/>
      <c r="W25" s="294"/>
      <c r="X25" s="294"/>
      <c r="Y25" s="294"/>
      <c r="Z25" s="294"/>
      <c r="AA25" s="294"/>
      <c r="AB25" s="294"/>
      <c r="AC25" s="294"/>
      <c r="AD25" s="294"/>
      <c r="AE25" s="283"/>
      <c r="AF25" s="283"/>
      <c r="AG25" s="283"/>
    </row>
    <row r="26" spans="1:33" x14ac:dyDescent="0.25">
      <c r="A26" s="673" t="s">
        <v>544</v>
      </c>
      <c r="B26" s="674" t="s">
        <v>557</v>
      </c>
      <c r="C26" s="283"/>
      <c r="D26" s="283"/>
      <c r="E26" s="283"/>
      <c r="F26" s="295"/>
      <c r="G26" s="295"/>
      <c r="H26" s="295"/>
      <c r="I26" s="295"/>
      <c r="J26" s="295"/>
      <c r="K26" s="295"/>
      <c r="L26" s="295"/>
      <c r="M26" s="295"/>
      <c r="N26" s="295"/>
      <c r="O26" s="295"/>
      <c r="P26" s="295"/>
      <c r="Q26" s="295"/>
      <c r="R26" s="295"/>
      <c r="S26" s="295"/>
      <c r="T26" s="295"/>
      <c r="U26" s="295"/>
      <c r="V26" s="295"/>
      <c r="W26" s="285"/>
      <c r="X26" s="294"/>
      <c r="Y26" s="294"/>
      <c r="Z26" s="294"/>
      <c r="AA26" s="294"/>
      <c r="AB26" s="294"/>
      <c r="AC26" s="294"/>
      <c r="AD26" s="294"/>
      <c r="AE26" s="283"/>
      <c r="AF26" s="283"/>
      <c r="AG26" s="283"/>
    </row>
    <row r="27" spans="1:33" x14ac:dyDescent="0.25">
      <c r="A27" s="673" t="s">
        <v>544</v>
      </c>
      <c r="B27" s="674" t="s">
        <v>558</v>
      </c>
      <c r="C27" s="283"/>
      <c r="D27" s="283"/>
      <c r="E27" s="283"/>
      <c r="F27" s="295"/>
      <c r="G27" s="295"/>
      <c r="H27" s="295"/>
      <c r="I27" s="295"/>
      <c r="J27" s="295"/>
      <c r="K27" s="295"/>
      <c r="L27" s="295"/>
      <c r="M27" s="295"/>
      <c r="N27" s="295"/>
      <c r="O27" s="295"/>
      <c r="P27" s="295"/>
      <c r="Q27" s="295"/>
      <c r="R27" s="295"/>
      <c r="S27" s="295"/>
      <c r="T27" s="295"/>
      <c r="U27" s="295"/>
      <c r="V27" s="295"/>
      <c r="W27" s="295"/>
      <c r="X27" s="285"/>
      <c r="Y27" s="294"/>
      <c r="Z27" s="294"/>
      <c r="AA27" s="294"/>
      <c r="AB27" s="294"/>
      <c r="AC27" s="294"/>
      <c r="AD27" s="294"/>
      <c r="AE27" s="283"/>
      <c r="AF27" s="283"/>
      <c r="AG27" s="283"/>
    </row>
    <row r="28" spans="1:33" x14ac:dyDescent="0.25">
      <c r="A28" s="673" t="s">
        <v>544</v>
      </c>
      <c r="B28" s="674" t="s">
        <v>559</v>
      </c>
      <c r="C28" s="283"/>
      <c r="D28" s="283"/>
      <c r="E28" s="283"/>
      <c r="F28" s="295"/>
      <c r="G28" s="295"/>
      <c r="H28" s="295"/>
      <c r="I28" s="295"/>
      <c r="J28" s="295"/>
      <c r="K28" s="295"/>
      <c r="L28" s="295"/>
      <c r="M28" s="295"/>
      <c r="N28" s="295"/>
      <c r="O28" s="295"/>
      <c r="P28" s="295"/>
      <c r="Q28" s="295"/>
      <c r="R28" s="295"/>
      <c r="S28" s="295"/>
      <c r="T28" s="295"/>
      <c r="U28" s="295"/>
      <c r="V28" s="295"/>
      <c r="W28" s="295"/>
      <c r="X28" s="295"/>
      <c r="Y28" s="285"/>
      <c r="Z28" s="294"/>
      <c r="AA28" s="294"/>
      <c r="AB28" s="294"/>
      <c r="AC28" s="294"/>
      <c r="AD28" s="294"/>
      <c r="AE28" s="283"/>
      <c r="AF28" s="283"/>
      <c r="AG28" s="283"/>
    </row>
    <row r="29" spans="1:33" ht="29.4" customHeight="1" x14ac:dyDescent="0.25">
      <c r="A29" s="673" t="s">
        <v>544</v>
      </c>
      <c r="B29" s="674" t="s">
        <v>1003</v>
      </c>
      <c r="C29" s="676"/>
      <c r="D29" s="283"/>
      <c r="E29" s="283"/>
      <c r="F29" s="295"/>
      <c r="G29" s="295"/>
      <c r="H29" s="295"/>
      <c r="I29" s="295"/>
      <c r="J29" s="295"/>
      <c r="K29" s="295"/>
      <c r="L29" s="295"/>
      <c r="M29" s="295"/>
      <c r="N29" s="295"/>
      <c r="O29" s="295"/>
      <c r="P29" s="295"/>
      <c r="Q29" s="295"/>
      <c r="R29" s="295"/>
      <c r="S29" s="295"/>
      <c r="T29" s="295"/>
      <c r="U29" s="295"/>
      <c r="V29" s="295"/>
      <c r="W29" s="295"/>
      <c r="X29" s="295"/>
      <c r="Y29" s="295"/>
      <c r="Z29" s="285"/>
      <c r="AA29" s="294"/>
      <c r="AB29" s="294"/>
      <c r="AC29" s="294"/>
      <c r="AD29" s="294"/>
      <c r="AE29" s="283"/>
      <c r="AF29" s="283"/>
      <c r="AG29" s="283"/>
    </row>
    <row r="30" spans="1:33" x14ac:dyDescent="0.25">
      <c r="A30" s="673" t="s">
        <v>544</v>
      </c>
      <c r="B30" s="674" t="s">
        <v>1004</v>
      </c>
      <c r="C30" s="283"/>
      <c r="D30" s="283"/>
      <c r="E30" s="283"/>
      <c r="F30" s="295"/>
      <c r="G30" s="295"/>
      <c r="H30" s="295"/>
      <c r="I30" s="295"/>
      <c r="J30" s="295"/>
      <c r="K30" s="295"/>
      <c r="L30" s="295"/>
      <c r="M30" s="295"/>
      <c r="N30" s="295"/>
      <c r="O30" s="295"/>
      <c r="P30" s="295"/>
      <c r="Q30" s="295"/>
      <c r="R30" s="295"/>
      <c r="S30" s="295"/>
      <c r="T30" s="295"/>
      <c r="U30" s="295"/>
      <c r="V30" s="295"/>
      <c r="W30" s="295"/>
      <c r="X30" s="295"/>
      <c r="Y30" s="295"/>
      <c r="Z30" s="295"/>
      <c r="AA30" s="285"/>
      <c r="AB30" s="294"/>
      <c r="AC30" s="294"/>
      <c r="AD30" s="294"/>
      <c r="AE30" s="283"/>
      <c r="AF30" s="283"/>
      <c r="AG30" s="283"/>
    </row>
    <row r="31" spans="1:33" x14ac:dyDescent="0.25">
      <c r="A31" s="673" t="s">
        <v>544</v>
      </c>
      <c r="B31" s="674" t="s">
        <v>1005</v>
      </c>
      <c r="C31" s="283"/>
      <c r="D31" s="283"/>
      <c r="E31" s="283"/>
      <c r="F31" s="295"/>
      <c r="G31" s="295"/>
      <c r="H31" s="295"/>
      <c r="I31" s="295"/>
      <c r="J31" s="295"/>
      <c r="K31" s="295"/>
      <c r="L31" s="295"/>
      <c r="M31" s="295"/>
      <c r="N31" s="295"/>
      <c r="O31" s="295"/>
      <c r="P31" s="295"/>
      <c r="Q31" s="295"/>
      <c r="R31" s="295"/>
      <c r="S31" s="295"/>
      <c r="T31" s="295"/>
      <c r="U31" s="295"/>
      <c r="V31" s="295"/>
      <c r="W31" s="295"/>
      <c r="X31" s="295"/>
      <c r="Y31" s="295"/>
      <c r="Z31" s="295"/>
      <c r="AA31" s="295"/>
      <c r="AB31" s="285"/>
      <c r="AC31" s="294"/>
      <c r="AD31" s="294"/>
      <c r="AE31" s="283"/>
      <c r="AF31" s="283"/>
      <c r="AG31" s="283"/>
    </row>
    <row r="32" spans="1:33" x14ac:dyDescent="0.25">
      <c r="A32" s="673" t="s">
        <v>544</v>
      </c>
      <c r="B32" s="674" t="s">
        <v>1006</v>
      </c>
      <c r="C32" s="283"/>
      <c r="D32" s="283"/>
      <c r="E32" s="283"/>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85"/>
      <c r="AD32" s="294"/>
      <c r="AE32" s="283"/>
      <c r="AF32" s="283"/>
      <c r="AG32" s="283"/>
    </row>
    <row r="33" spans="1:36" x14ac:dyDescent="0.25">
      <c r="A33" s="673" t="s">
        <v>544</v>
      </c>
      <c r="B33" s="674" t="s">
        <v>1007</v>
      </c>
      <c r="C33" s="283"/>
      <c r="D33" s="283"/>
      <c r="E33" s="283"/>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85"/>
      <c r="AE33" s="283"/>
      <c r="AF33" s="283"/>
      <c r="AG33" s="283"/>
    </row>
    <row r="34" spans="1:36" ht="13" x14ac:dyDescent="0.3">
      <c r="A34" s="677"/>
      <c r="B34" s="678" t="s">
        <v>271</v>
      </c>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row>
    <row r="36" spans="1:36" s="680" customFormat="1" ht="13" x14ac:dyDescent="0.3">
      <c r="A36" s="667"/>
      <c r="B36" s="668" t="s">
        <v>548</v>
      </c>
      <c r="C36" s="667"/>
      <c r="D36" s="667"/>
      <c r="E36" s="667"/>
      <c r="F36" s="669" t="s">
        <v>10</v>
      </c>
      <c r="G36" s="667"/>
      <c r="H36" s="679"/>
      <c r="I36" s="667"/>
      <c r="J36" s="679"/>
      <c r="K36" s="679"/>
      <c r="L36" s="667"/>
      <c r="M36" s="667"/>
      <c r="N36" s="667"/>
      <c r="O36" s="667"/>
      <c r="P36" s="667"/>
      <c r="Q36" s="667"/>
      <c r="R36" s="667"/>
      <c r="S36" s="667"/>
      <c r="T36" s="667"/>
      <c r="U36" s="667"/>
      <c r="V36" s="667"/>
      <c r="W36" s="667"/>
      <c r="X36" s="667"/>
      <c r="Y36" s="667"/>
      <c r="Z36" s="667"/>
      <c r="AA36" s="667"/>
      <c r="AB36" s="667"/>
      <c r="AC36" s="667"/>
      <c r="AD36" s="667"/>
      <c r="AE36" s="667"/>
      <c r="AF36" s="667"/>
      <c r="AG36" s="667"/>
      <c r="AI36" s="681"/>
      <c r="AJ36" s="681"/>
    </row>
    <row r="37" spans="1:36" ht="26.15" customHeight="1" x14ac:dyDescent="0.35">
      <c r="A37" s="682"/>
      <c r="B37" s="683" t="s">
        <v>418</v>
      </c>
      <c r="C37" s="1780" t="s">
        <v>526</v>
      </c>
      <c r="D37" s="1780" t="s">
        <v>527</v>
      </c>
      <c r="E37" s="1780" t="s">
        <v>598</v>
      </c>
      <c r="F37" s="1782" t="s">
        <v>599</v>
      </c>
      <c r="G37" s="1783"/>
      <c r="H37" s="1783"/>
      <c r="I37" s="1783"/>
      <c r="J37" s="1783"/>
      <c r="K37" s="1783"/>
      <c r="L37" s="1783"/>
      <c r="M37" s="1783"/>
      <c r="N37" s="1783"/>
      <c r="O37" s="1783"/>
      <c r="P37" s="1783"/>
      <c r="Q37" s="1783"/>
      <c r="R37" s="1783"/>
      <c r="S37" s="1783"/>
      <c r="T37" s="1783"/>
      <c r="U37" s="1783"/>
      <c r="V37" s="1783"/>
      <c r="W37" s="1783"/>
      <c r="X37" s="1783"/>
      <c r="Y37" s="1783"/>
      <c r="Z37" s="1783"/>
      <c r="AA37" s="1783"/>
      <c r="AB37" s="1783"/>
      <c r="AC37" s="1783"/>
      <c r="AD37" s="1784"/>
      <c r="AE37" s="671" t="s">
        <v>549</v>
      </c>
      <c r="AF37" s="671" t="s">
        <v>542</v>
      </c>
      <c r="AG37" s="671" t="s">
        <v>550</v>
      </c>
    </row>
    <row r="38" spans="1:36" ht="12.9" customHeight="1" x14ac:dyDescent="0.25">
      <c r="A38" s="682"/>
      <c r="B38" s="683"/>
      <c r="C38" s="1781"/>
      <c r="D38" s="1781"/>
      <c r="E38" s="1781"/>
      <c r="F38" s="672" t="s">
        <v>528</v>
      </c>
      <c r="G38" s="672" t="s">
        <v>529</v>
      </c>
      <c r="H38" s="672" t="s">
        <v>530</v>
      </c>
      <c r="I38" s="672" t="s">
        <v>531</v>
      </c>
      <c r="J38" s="672" t="s">
        <v>532</v>
      </c>
      <c r="K38" s="672" t="s">
        <v>533</v>
      </c>
      <c r="L38" s="672" t="s">
        <v>534</v>
      </c>
      <c r="M38" s="672" t="s">
        <v>535</v>
      </c>
      <c r="N38" s="672" t="s">
        <v>536</v>
      </c>
      <c r="O38" s="672" t="s">
        <v>537</v>
      </c>
      <c r="P38" s="672" t="s">
        <v>538</v>
      </c>
      <c r="Q38" s="672" t="s">
        <v>539</v>
      </c>
      <c r="R38" s="672" t="s">
        <v>540</v>
      </c>
      <c r="S38" s="672" t="s">
        <v>541</v>
      </c>
      <c r="T38" s="672" t="s">
        <v>326</v>
      </c>
      <c r="U38" s="672" t="s">
        <v>517</v>
      </c>
      <c r="V38" s="672" t="s">
        <v>518</v>
      </c>
      <c r="W38" s="672" t="s">
        <v>519</v>
      </c>
      <c r="X38" s="672" t="s">
        <v>520</v>
      </c>
      <c r="Y38" s="672" t="s">
        <v>521</v>
      </c>
      <c r="Z38" s="672" t="s">
        <v>940</v>
      </c>
      <c r="AA38" s="672" t="s">
        <v>941</v>
      </c>
      <c r="AB38" s="672" t="s">
        <v>945</v>
      </c>
      <c r="AC38" s="672" t="s">
        <v>942</v>
      </c>
      <c r="AD38" s="672" t="s">
        <v>944</v>
      </c>
      <c r="AE38" s="671"/>
      <c r="AF38" s="671"/>
      <c r="AG38" s="671"/>
    </row>
    <row r="39" spans="1:36" x14ac:dyDescent="0.25">
      <c r="A39" s="673" t="s">
        <v>543</v>
      </c>
      <c r="B39" s="674">
        <v>2005</v>
      </c>
      <c r="C39" s="673"/>
      <c r="D39" s="673"/>
      <c r="E39" s="68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83"/>
      <c r="AF39" s="283"/>
      <c r="AG39" s="685"/>
      <c r="AI39" s="679"/>
    </row>
    <row r="40" spans="1:36" x14ac:dyDescent="0.25">
      <c r="A40" s="673" t="s">
        <v>544</v>
      </c>
      <c r="B40" s="674" t="s">
        <v>528</v>
      </c>
      <c r="C40" s="673"/>
      <c r="D40" s="673"/>
      <c r="E40" s="684"/>
      <c r="F40" s="285"/>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83"/>
      <c r="AF40" s="283"/>
      <c r="AG40" s="685"/>
    </row>
    <row r="41" spans="1:36" x14ac:dyDescent="0.25">
      <c r="A41" s="673" t="s">
        <v>544</v>
      </c>
      <c r="B41" s="674" t="s">
        <v>529</v>
      </c>
      <c r="C41" s="673"/>
      <c r="D41" s="673"/>
      <c r="E41" s="684"/>
      <c r="F41" s="295"/>
      <c r="G41" s="285"/>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83"/>
      <c r="AF41" s="283"/>
      <c r="AG41" s="685"/>
    </row>
    <row r="42" spans="1:36" x14ac:dyDescent="0.25">
      <c r="A42" s="673" t="s">
        <v>544</v>
      </c>
      <c r="B42" s="674" t="s">
        <v>530</v>
      </c>
      <c r="C42" s="673"/>
      <c r="D42" s="673"/>
      <c r="E42" s="684"/>
      <c r="F42" s="295"/>
      <c r="G42" s="295"/>
      <c r="H42" s="285"/>
      <c r="I42" s="294"/>
      <c r="J42" s="294"/>
      <c r="K42" s="294"/>
      <c r="L42" s="294"/>
      <c r="M42" s="294"/>
      <c r="N42" s="294"/>
      <c r="O42" s="294"/>
      <c r="P42" s="294"/>
      <c r="Q42" s="294"/>
      <c r="R42" s="294"/>
      <c r="S42" s="294"/>
      <c r="T42" s="294"/>
      <c r="U42" s="294"/>
      <c r="V42" s="294"/>
      <c r="W42" s="294"/>
      <c r="X42" s="294"/>
      <c r="Y42" s="294"/>
      <c r="Z42" s="294"/>
      <c r="AA42" s="294"/>
      <c r="AB42" s="294"/>
      <c r="AC42" s="294"/>
      <c r="AD42" s="294"/>
      <c r="AE42" s="283"/>
      <c r="AF42" s="283"/>
      <c r="AG42" s="685"/>
    </row>
    <row r="43" spans="1:36" x14ac:dyDescent="0.25">
      <c r="A43" s="673" t="s">
        <v>544</v>
      </c>
      <c r="B43" s="674" t="s">
        <v>531</v>
      </c>
      <c r="C43" s="673"/>
      <c r="D43" s="673"/>
      <c r="E43" s="684"/>
      <c r="F43" s="295"/>
      <c r="G43" s="295"/>
      <c r="H43" s="295"/>
      <c r="I43" s="285"/>
      <c r="J43" s="294"/>
      <c r="K43" s="294"/>
      <c r="L43" s="294"/>
      <c r="M43" s="294"/>
      <c r="N43" s="294"/>
      <c r="O43" s="294"/>
      <c r="P43" s="294"/>
      <c r="Q43" s="294"/>
      <c r="R43" s="294"/>
      <c r="S43" s="294"/>
      <c r="T43" s="294"/>
      <c r="U43" s="294"/>
      <c r="V43" s="294"/>
      <c r="W43" s="294"/>
      <c r="X43" s="294"/>
      <c r="Y43" s="294"/>
      <c r="Z43" s="294"/>
      <c r="AA43" s="294"/>
      <c r="AB43" s="294"/>
      <c r="AC43" s="294"/>
      <c r="AD43" s="294"/>
      <c r="AE43" s="283"/>
      <c r="AF43" s="283"/>
      <c r="AG43" s="685"/>
    </row>
    <row r="44" spans="1:36" x14ac:dyDescent="0.25">
      <c r="A44" s="673" t="s">
        <v>544</v>
      </c>
      <c r="B44" s="674" t="s">
        <v>532</v>
      </c>
      <c r="C44" s="673"/>
      <c r="D44" s="673"/>
      <c r="E44" s="684"/>
      <c r="F44" s="295"/>
      <c r="G44" s="295"/>
      <c r="H44" s="295"/>
      <c r="I44" s="295"/>
      <c r="J44" s="285"/>
      <c r="K44" s="294"/>
      <c r="L44" s="294"/>
      <c r="M44" s="294"/>
      <c r="N44" s="294"/>
      <c r="O44" s="294"/>
      <c r="P44" s="294"/>
      <c r="Q44" s="294"/>
      <c r="R44" s="294"/>
      <c r="S44" s="294"/>
      <c r="T44" s="294"/>
      <c r="U44" s="294"/>
      <c r="V44" s="294"/>
      <c r="W44" s="294"/>
      <c r="X44" s="294"/>
      <c r="Y44" s="294"/>
      <c r="Z44" s="294"/>
      <c r="AA44" s="294"/>
      <c r="AB44" s="294"/>
      <c r="AC44" s="294"/>
      <c r="AD44" s="294"/>
      <c r="AE44" s="283"/>
      <c r="AF44" s="283"/>
      <c r="AG44" s="685"/>
    </row>
    <row r="45" spans="1:36" x14ac:dyDescent="0.25">
      <c r="A45" s="673" t="s">
        <v>544</v>
      </c>
      <c r="B45" s="674" t="s">
        <v>533</v>
      </c>
      <c r="C45" s="673"/>
      <c r="D45" s="673"/>
      <c r="E45" s="684"/>
      <c r="F45" s="295"/>
      <c r="G45" s="295"/>
      <c r="H45" s="295"/>
      <c r="I45" s="295"/>
      <c r="J45" s="295"/>
      <c r="K45" s="285"/>
      <c r="L45" s="294"/>
      <c r="M45" s="294"/>
      <c r="N45" s="294"/>
      <c r="O45" s="294"/>
      <c r="P45" s="294"/>
      <c r="Q45" s="294"/>
      <c r="R45" s="294"/>
      <c r="S45" s="294"/>
      <c r="T45" s="294"/>
      <c r="U45" s="294"/>
      <c r="V45" s="294"/>
      <c r="W45" s="294"/>
      <c r="X45" s="294"/>
      <c r="Y45" s="294"/>
      <c r="Z45" s="294"/>
      <c r="AA45" s="294"/>
      <c r="AB45" s="294"/>
      <c r="AC45" s="294"/>
      <c r="AD45" s="294"/>
      <c r="AE45" s="283"/>
      <c r="AF45" s="283"/>
      <c r="AG45" s="685"/>
    </row>
    <row r="46" spans="1:36" x14ac:dyDescent="0.25">
      <c r="A46" s="673" t="s">
        <v>544</v>
      </c>
      <c r="B46" s="674" t="s">
        <v>534</v>
      </c>
      <c r="C46" s="673"/>
      <c r="D46" s="673"/>
      <c r="E46" s="684"/>
      <c r="F46" s="295"/>
      <c r="G46" s="295"/>
      <c r="H46" s="295"/>
      <c r="I46" s="295"/>
      <c r="J46" s="295"/>
      <c r="K46" s="295"/>
      <c r="L46" s="285"/>
      <c r="M46" s="294"/>
      <c r="N46" s="294"/>
      <c r="O46" s="294"/>
      <c r="P46" s="294"/>
      <c r="Q46" s="294"/>
      <c r="R46" s="294"/>
      <c r="S46" s="294"/>
      <c r="T46" s="294"/>
      <c r="U46" s="294"/>
      <c r="V46" s="294"/>
      <c r="W46" s="294"/>
      <c r="X46" s="294"/>
      <c r="Y46" s="294"/>
      <c r="Z46" s="294"/>
      <c r="AA46" s="294"/>
      <c r="AB46" s="294"/>
      <c r="AC46" s="294"/>
      <c r="AD46" s="294"/>
      <c r="AE46" s="283"/>
      <c r="AF46" s="283"/>
      <c r="AG46" s="685"/>
    </row>
    <row r="47" spans="1:36" x14ac:dyDescent="0.25">
      <c r="A47" s="673" t="s">
        <v>544</v>
      </c>
      <c r="B47" s="674" t="s">
        <v>535</v>
      </c>
      <c r="C47" s="673"/>
      <c r="D47" s="673"/>
      <c r="E47" s="684"/>
      <c r="F47" s="295"/>
      <c r="G47" s="295"/>
      <c r="H47" s="295"/>
      <c r="I47" s="295"/>
      <c r="J47" s="295"/>
      <c r="K47" s="295"/>
      <c r="L47" s="295"/>
      <c r="M47" s="285"/>
      <c r="N47" s="294"/>
      <c r="O47" s="294"/>
      <c r="P47" s="294"/>
      <c r="Q47" s="294"/>
      <c r="R47" s="294"/>
      <c r="S47" s="294"/>
      <c r="T47" s="294"/>
      <c r="U47" s="294"/>
      <c r="V47" s="294"/>
      <c r="W47" s="294"/>
      <c r="X47" s="294"/>
      <c r="Y47" s="294"/>
      <c r="Z47" s="294"/>
      <c r="AA47" s="294"/>
      <c r="AB47" s="294"/>
      <c r="AC47" s="294"/>
      <c r="AD47" s="294"/>
      <c r="AE47" s="283"/>
      <c r="AF47" s="283"/>
      <c r="AG47" s="685"/>
    </row>
    <row r="48" spans="1:36" x14ac:dyDescent="0.25">
      <c r="A48" s="673" t="s">
        <v>544</v>
      </c>
      <c r="B48" s="674" t="s">
        <v>536</v>
      </c>
      <c r="C48" s="673"/>
      <c r="D48" s="673"/>
      <c r="E48" s="684"/>
      <c r="F48" s="295"/>
      <c r="G48" s="295"/>
      <c r="H48" s="295"/>
      <c r="I48" s="295"/>
      <c r="J48" s="295"/>
      <c r="K48" s="295"/>
      <c r="L48" s="295"/>
      <c r="M48" s="295"/>
      <c r="N48" s="285"/>
      <c r="O48" s="294"/>
      <c r="P48" s="294"/>
      <c r="Q48" s="294"/>
      <c r="R48" s="294"/>
      <c r="S48" s="294"/>
      <c r="T48" s="294"/>
      <c r="U48" s="294"/>
      <c r="V48" s="294"/>
      <c r="W48" s="294"/>
      <c r="X48" s="294"/>
      <c r="Y48" s="294"/>
      <c r="Z48" s="294"/>
      <c r="AA48" s="294"/>
      <c r="AB48" s="294"/>
      <c r="AC48" s="294"/>
      <c r="AD48" s="294"/>
      <c r="AE48" s="283"/>
      <c r="AF48" s="283"/>
      <c r="AG48" s="685"/>
    </row>
    <row r="49" spans="1:33" x14ac:dyDescent="0.25">
      <c r="A49" s="673" t="s">
        <v>544</v>
      </c>
      <c r="B49" s="674" t="s">
        <v>537</v>
      </c>
      <c r="C49" s="283"/>
      <c r="D49" s="673"/>
      <c r="E49" s="684"/>
      <c r="F49" s="295"/>
      <c r="G49" s="295"/>
      <c r="H49" s="295"/>
      <c r="I49" s="295"/>
      <c r="J49" s="295"/>
      <c r="K49" s="295"/>
      <c r="L49" s="295"/>
      <c r="M49" s="295"/>
      <c r="N49" s="295"/>
      <c r="O49" s="285"/>
      <c r="P49" s="294"/>
      <c r="Q49" s="294"/>
      <c r="R49" s="294"/>
      <c r="S49" s="294"/>
      <c r="T49" s="294"/>
      <c r="U49" s="294"/>
      <c r="V49" s="294"/>
      <c r="W49" s="294"/>
      <c r="X49" s="294"/>
      <c r="Y49" s="294"/>
      <c r="Z49" s="294"/>
      <c r="AA49" s="294"/>
      <c r="AB49" s="294"/>
      <c r="AC49" s="294"/>
      <c r="AD49" s="294"/>
      <c r="AE49" s="283"/>
      <c r="AF49" s="283"/>
      <c r="AG49" s="685"/>
    </row>
    <row r="50" spans="1:33" x14ac:dyDescent="0.25">
      <c r="A50" s="673" t="s">
        <v>544</v>
      </c>
      <c r="B50" s="674" t="s">
        <v>538</v>
      </c>
      <c r="C50" s="283"/>
      <c r="D50" s="673"/>
      <c r="E50" s="684"/>
      <c r="F50" s="295"/>
      <c r="G50" s="295"/>
      <c r="H50" s="295"/>
      <c r="I50" s="295"/>
      <c r="J50" s="295"/>
      <c r="K50" s="295"/>
      <c r="L50" s="295"/>
      <c r="M50" s="295"/>
      <c r="N50" s="295"/>
      <c r="O50" s="295"/>
      <c r="P50" s="285"/>
      <c r="Q50" s="294"/>
      <c r="R50" s="294"/>
      <c r="S50" s="294"/>
      <c r="T50" s="294"/>
      <c r="U50" s="294"/>
      <c r="V50" s="294"/>
      <c r="W50" s="294"/>
      <c r="X50" s="294"/>
      <c r="Y50" s="294"/>
      <c r="Z50" s="294"/>
      <c r="AA50" s="294"/>
      <c r="AB50" s="294"/>
      <c r="AC50" s="294"/>
      <c r="AD50" s="294"/>
      <c r="AE50" s="283"/>
      <c r="AF50" s="283"/>
      <c r="AG50" s="685"/>
    </row>
    <row r="51" spans="1:33" x14ac:dyDescent="0.25">
      <c r="A51" s="673" t="s">
        <v>544</v>
      </c>
      <c r="B51" s="674" t="s">
        <v>539</v>
      </c>
      <c r="C51" s="686"/>
      <c r="D51" s="283"/>
      <c r="E51" s="684"/>
      <c r="F51" s="295"/>
      <c r="G51" s="295"/>
      <c r="H51" s="295"/>
      <c r="I51" s="295"/>
      <c r="J51" s="295"/>
      <c r="K51" s="295"/>
      <c r="L51" s="295"/>
      <c r="M51" s="295"/>
      <c r="N51" s="295"/>
      <c r="O51" s="295"/>
      <c r="P51" s="295"/>
      <c r="Q51" s="285"/>
      <c r="R51" s="294"/>
      <c r="S51" s="294"/>
      <c r="T51" s="294"/>
      <c r="U51" s="294"/>
      <c r="V51" s="294"/>
      <c r="W51" s="294"/>
      <c r="X51" s="294"/>
      <c r="Y51" s="294"/>
      <c r="Z51" s="294"/>
      <c r="AA51" s="294"/>
      <c r="AB51" s="294"/>
      <c r="AC51" s="294"/>
      <c r="AD51" s="294"/>
      <c r="AE51" s="283"/>
      <c r="AF51" s="283"/>
      <c r="AG51" s="685"/>
    </row>
    <row r="52" spans="1:33" x14ac:dyDescent="0.25">
      <c r="A52" s="673" t="s">
        <v>544</v>
      </c>
      <c r="B52" s="674" t="s">
        <v>540</v>
      </c>
      <c r="C52" s="283"/>
      <c r="D52" s="283"/>
      <c r="E52" s="684"/>
      <c r="F52" s="295"/>
      <c r="G52" s="295"/>
      <c r="H52" s="295"/>
      <c r="I52" s="295"/>
      <c r="J52" s="295"/>
      <c r="K52" s="295"/>
      <c r="L52" s="295"/>
      <c r="M52" s="295"/>
      <c r="N52" s="295"/>
      <c r="O52" s="295"/>
      <c r="P52" s="295"/>
      <c r="Q52" s="295"/>
      <c r="R52" s="285"/>
      <c r="S52" s="294"/>
      <c r="T52" s="294"/>
      <c r="U52" s="294"/>
      <c r="V52" s="294"/>
      <c r="W52" s="294"/>
      <c r="X52" s="294"/>
      <c r="Y52" s="294"/>
      <c r="Z52" s="294"/>
      <c r="AA52" s="294"/>
      <c r="AB52" s="294"/>
      <c r="AC52" s="294"/>
      <c r="AD52" s="294"/>
      <c r="AE52" s="283"/>
      <c r="AF52" s="283"/>
      <c r="AG52" s="685"/>
    </row>
    <row r="53" spans="1:33" x14ac:dyDescent="0.25">
      <c r="A53" s="673" t="s">
        <v>544</v>
      </c>
      <c r="B53" s="674" t="s">
        <v>541</v>
      </c>
      <c r="C53" s="283"/>
      <c r="D53" s="283"/>
      <c r="E53" s="684"/>
      <c r="F53" s="295"/>
      <c r="G53" s="295"/>
      <c r="H53" s="295"/>
      <c r="I53" s="295"/>
      <c r="J53" s="295"/>
      <c r="K53" s="295"/>
      <c r="L53" s="295"/>
      <c r="M53" s="295"/>
      <c r="N53" s="295"/>
      <c r="O53" s="295"/>
      <c r="P53" s="295"/>
      <c r="Q53" s="295"/>
      <c r="R53" s="295"/>
      <c r="S53" s="285"/>
      <c r="T53" s="294"/>
      <c r="U53" s="294"/>
      <c r="V53" s="294"/>
      <c r="W53" s="294"/>
      <c r="X53" s="294"/>
      <c r="Y53" s="294"/>
      <c r="Z53" s="294"/>
      <c r="AA53" s="294"/>
      <c r="AB53" s="294"/>
      <c r="AC53" s="294"/>
      <c r="AD53" s="294"/>
      <c r="AE53" s="283"/>
      <c r="AF53" s="283"/>
      <c r="AG53" s="685"/>
    </row>
    <row r="54" spans="1:33" x14ac:dyDescent="0.25">
      <c r="A54" s="673" t="s">
        <v>544</v>
      </c>
      <c r="B54" s="674" t="s">
        <v>545</v>
      </c>
      <c r="C54" s="283"/>
      <c r="D54" s="283"/>
      <c r="E54" s="687"/>
      <c r="F54" s="295"/>
      <c r="G54" s="295"/>
      <c r="H54" s="295"/>
      <c r="I54" s="295"/>
      <c r="J54" s="295"/>
      <c r="K54" s="295"/>
      <c r="L54" s="295"/>
      <c r="M54" s="295"/>
      <c r="N54" s="295"/>
      <c r="O54" s="295"/>
      <c r="P54" s="295"/>
      <c r="Q54" s="295"/>
      <c r="R54" s="295"/>
      <c r="S54" s="295"/>
      <c r="T54" s="285"/>
      <c r="U54" s="294"/>
      <c r="V54" s="294"/>
      <c r="W54" s="294"/>
      <c r="X54" s="294"/>
      <c r="Y54" s="294"/>
      <c r="Z54" s="294"/>
      <c r="AA54" s="294"/>
      <c r="AB54" s="294"/>
      <c r="AC54" s="294"/>
      <c r="AD54" s="294"/>
      <c r="AE54" s="283"/>
      <c r="AF54" s="283"/>
      <c r="AG54" s="685"/>
    </row>
    <row r="55" spans="1:33" x14ac:dyDescent="0.25">
      <c r="A55" s="673" t="s">
        <v>544</v>
      </c>
      <c r="B55" s="674" t="s">
        <v>546</v>
      </c>
      <c r="C55" s="283"/>
      <c r="D55" s="283"/>
      <c r="E55" s="687"/>
      <c r="F55" s="295"/>
      <c r="G55" s="295"/>
      <c r="H55" s="295"/>
      <c r="I55" s="295"/>
      <c r="J55" s="295"/>
      <c r="K55" s="295"/>
      <c r="L55" s="295"/>
      <c r="M55" s="295"/>
      <c r="N55" s="295"/>
      <c r="O55" s="295"/>
      <c r="P55" s="295"/>
      <c r="Q55" s="295"/>
      <c r="R55" s="295"/>
      <c r="S55" s="295"/>
      <c r="T55" s="295"/>
      <c r="U55" s="285"/>
      <c r="V55" s="294"/>
      <c r="W55" s="294"/>
      <c r="X55" s="294"/>
      <c r="Y55" s="294"/>
      <c r="Z55" s="294"/>
      <c r="AA55" s="294"/>
      <c r="AB55" s="294"/>
      <c r="AC55" s="294"/>
      <c r="AD55" s="294"/>
      <c r="AE55" s="283"/>
      <c r="AF55" s="283"/>
      <c r="AG55" s="685"/>
    </row>
    <row r="56" spans="1:33" x14ac:dyDescent="0.25">
      <c r="A56" s="673" t="s">
        <v>544</v>
      </c>
      <c r="B56" s="674" t="s">
        <v>547</v>
      </c>
      <c r="C56" s="283"/>
      <c r="D56" s="283"/>
      <c r="E56" s="687"/>
      <c r="F56" s="295"/>
      <c r="G56" s="295"/>
      <c r="H56" s="295"/>
      <c r="I56" s="295"/>
      <c r="J56" s="295"/>
      <c r="K56" s="295"/>
      <c r="L56" s="295"/>
      <c r="M56" s="295"/>
      <c r="N56" s="295"/>
      <c r="O56" s="295"/>
      <c r="P56" s="295"/>
      <c r="Q56" s="295"/>
      <c r="R56" s="295"/>
      <c r="S56" s="295"/>
      <c r="T56" s="295"/>
      <c r="U56" s="295"/>
      <c r="V56" s="285"/>
      <c r="W56" s="294"/>
      <c r="X56" s="294"/>
      <c r="Y56" s="294"/>
      <c r="Z56" s="294"/>
      <c r="AA56" s="294"/>
      <c r="AB56" s="294"/>
      <c r="AC56" s="294"/>
      <c r="AD56" s="294"/>
      <c r="AE56" s="283"/>
      <c r="AF56" s="283"/>
      <c r="AG56" s="685"/>
    </row>
    <row r="57" spans="1:33" x14ac:dyDescent="0.25">
      <c r="A57" s="673" t="s">
        <v>544</v>
      </c>
      <c r="B57" s="674" t="s">
        <v>557</v>
      </c>
      <c r="C57" s="283"/>
      <c r="D57" s="283"/>
      <c r="E57" s="687"/>
      <c r="F57" s="295"/>
      <c r="G57" s="295"/>
      <c r="H57" s="295"/>
      <c r="I57" s="295"/>
      <c r="J57" s="295"/>
      <c r="K57" s="295"/>
      <c r="L57" s="295"/>
      <c r="M57" s="295"/>
      <c r="N57" s="295"/>
      <c r="O57" s="295"/>
      <c r="P57" s="295"/>
      <c r="Q57" s="295"/>
      <c r="R57" s="295"/>
      <c r="S57" s="295"/>
      <c r="T57" s="295"/>
      <c r="U57" s="295"/>
      <c r="V57" s="295"/>
      <c r="W57" s="285"/>
      <c r="X57" s="294"/>
      <c r="Y57" s="294"/>
      <c r="Z57" s="294"/>
      <c r="AA57" s="294"/>
      <c r="AB57" s="294"/>
      <c r="AC57" s="294"/>
      <c r="AD57" s="294"/>
      <c r="AE57" s="283"/>
      <c r="AF57" s="283"/>
      <c r="AG57" s="685"/>
    </row>
    <row r="58" spans="1:33" x14ac:dyDescent="0.25">
      <c r="A58" s="673" t="s">
        <v>544</v>
      </c>
      <c r="B58" s="674" t="s">
        <v>558</v>
      </c>
      <c r="C58" s="283"/>
      <c r="D58" s="283"/>
      <c r="E58" s="687"/>
      <c r="F58" s="295"/>
      <c r="G58" s="295"/>
      <c r="H58" s="295"/>
      <c r="I58" s="295"/>
      <c r="J58" s="295"/>
      <c r="K58" s="295"/>
      <c r="L58" s="295"/>
      <c r="M58" s="295"/>
      <c r="N58" s="295"/>
      <c r="O58" s="295"/>
      <c r="P58" s="295"/>
      <c r="Q58" s="295"/>
      <c r="R58" s="295"/>
      <c r="S58" s="295"/>
      <c r="T58" s="295"/>
      <c r="U58" s="295"/>
      <c r="V58" s="295"/>
      <c r="W58" s="295"/>
      <c r="X58" s="285"/>
      <c r="Y58" s="294"/>
      <c r="Z58" s="294"/>
      <c r="AA58" s="294"/>
      <c r="AB58" s="294"/>
      <c r="AC58" s="294"/>
      <c r="AD58" s="294"/>
      <c r="AE58" s="283"/>
      <c r="AF58" s="283"/>
      <c r="AG58" s="685"/>
    </row>
    <row r="59" spans="1:33" x14ac:dyDescent="0.25">
      <c r="A59" s="673" t="s">
        <v>544</v>
      </c>
      <c r="B59" s="674" t="s">
        <v>559</v>
      </c>
      <c r="C59" s="283"/>
      <c r="D59" s="283"/>
      <c r="E59" s="687"/>
      <c r="F59" s="295"/>
      <c r="G59" s="295"/>
      <c r="H59" s="295"/>
      <c r="I59" s="295"/>
      <c r="J59" s="295"/>
      <c r="K59" s="295"/>
      <c r="L59" s="295"/>
      <c r="M59" s="295"/>
      <c r="N59" s="295"/>
      <c r="O59" s="295"/>
      <c r="P59" s="295"/>
      <c r="Q59" s="295"/>
      <c r="R59" s="295"/>
      <c r="S59" s="295"/>
      <c r="T59" s="295"/>
      <c r="U59" s="295"/>
      <c r="V59" s="295"/>
      <c r="W59" s="295"/>
      <c r="X59" s="295"/>
      <c r="Y59" s="285"/>
      <c r="Z59" s="294"/>
      <c r="AA59" s="294"/>
      <c r="AB59" s="294"/>
      <c r="AC59" s="294"/>
      <c r="AD59" s="294"/>
      <c r="AE59" s="283"/>
      <c r="AF59" s="283"/>
      <c r="AG59" s="685"/>
    </row>
    <row r="60" spans="1:33" x14ac:dyDescent="0.25">
      <c r="A60" s="673" t="s">
        <v>544</v>
      </c>
      <c r="B60" s="674" t="s">
        <v>1003</v>
      </c>
      <c r="C60" s="283"/>
      <c r="D60" s="283"/>
      <c r="E60" s="687"/>
      <c r="F60" s="295"/>
      <c r="G60" s="295"/>
      <c r="H60" s="295"/>
      <c r="I60" s="295"/>
      <c r="J60" s="295"/>
      <c r="K60" s="295"/>
      <c r="L60" s="295"/>
      <c r="M60" s="295"/>
      <c r="N60" s="295"/>
      <c r="O60" s="295"/>
      <c r="P60" s="295"/>
      <c r="Q60" s="295"/>
      <c r="R60" s="295"/>
      <c r="S60" s="295"/>
      <c r="T60" s="295"/>
      <c r="U60" s="295"/>
      <c r="V60" s="295"/>
      <c r="W60" s="295"/>
      <c r="X60" s="295"/>
      <c r="Y60" s="295"/>
      <c r="Z60" s="285"/>
      <c r="AA60" s="294"/>
      <c r="AB60" s="294"/>
      <c r="AC60" s="294"/>
      <c r="AD60" s="294"/>
      <c r="AE60" s="283"/>
      <c r="AF60" s="283"/>
      <c r="AG60" s="685"/>
    </row>
    <row r="61" spans="1:33" x14ac:dyDescent="0.25">
      <c r="A61" s="673" t="s">
        <v>544</v>
      </c>
      <c r="B61" s="674" t="s">
        <v>1004</v>
      </c>
      <c r="C61" s="283"/>
      <c r="D61" s="283"/>
      <c r="E61" s="687"/>
      <c r="F61" s="295"/>
      <c r="G61" s="295"/>
      <c r="H61" s="295"/>
      <c r="I61" s="295"/>
      <c r="J61" s="295"/>
      <c r="K61" s="295"/>
      <c r="L61" s="295"/>
      <c r="M61" s="295"/>
      <c r="N61" s="295"/>
      <c r="O61" s="295"/>
      <c r="P61" s="295"/>
      <c r="Q61" s="295"/>
      <c r="R61" s="295"/>
      <c r="S61" s="295"/>
      <c r="T61" s="295"/>
      <c r="U61" s="295"/>
      <c r="V61" s="295"/>
      <c r="W61" s="295"/>
      <c r="X61" s="295"/>
      <c r="Y61" s="295"/>
      <c r="Z61" s="295"/>
      <c r="AA61" s="285"/>
      <c r="AB61" s="294"/>
      <c r="AC61" s="294"/>
      <c r="AD61" s="294"/>
      <c r="AE61" s="283"/>
      <c r="AF61" s="283"/>
      <c r="AG61" s="685"/>
    </row>
    <row r="62" spans="1:33" x14ac:dyDescent="0.25">
      <c r="A62" s="673" t="s">
        <v>544</v>
      </c>
      <c r="B62" s="674" t="s">
        <v>1005</v>
      </c>
      <c r="C62" s="283"/>
      <c r="D62" s="283"/>
      <c r="E62" s="687"/>
      <c r="F62" s="295"/>
      <c r="G62" s="295"/>
      <c r="H62" s="295"/>
      <c r="I62" s="295"/>
      <c r="J62" s="295"/>
      <c r="K62" s="295"/>
      <c r="L62" s="295"/>
      <c r="M62" s="295"/>
      <c r="N62" s="295"/>
      <c r="O62" s="295"/>
      <c r="P62" s="295"/>
      <c r="Q62" s="295"/>
      <c r="R62" s="295"/>
      <c r="S62" s="295"/>
      <c r="T62" s="295"/>
      <c r="U62" s="295"/>
      <c r="V62" s="295"/>
      <c r="W62" s="295"/>
      <c r="X62" s="295"/>
      <c r="Y62" s="295"/>
      <c r="Z62" s="295"/>
      <c r="AA62" s="295"/>
      <c r="AB62" s="285"/>
      <c r="AC62" s="294"/>
      <c r="AD62" s="294"/>
      <c r="AE62" s="283"/>
      <c r="AF62" s="283"/>
      <c r="AG62" s="685"/>
    </row>
    <row r="63" spans="1:33" x14ac:dyDescent="0.25">
      <c r="A63" s="673" t="s">
        <v>544</v>
      </c>
      <c r="B63" s="674" t="s">
        <v>1006</v>
      </c>
      <c r="C63" s="283"/>
      <c r="D63" s="283"/>
      <c r="E63" s="687"/>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85"/>
      <c r="AD63" s="294"/>
      <c r="AE63" s="283"/>
      <c r="AF63" s="283"/>
      <c r="AG63" s="685"/>
    </row>
    <row r="64" spans="1:33" x14ac:dyDescent="0.25">
      <c r="A64" s="673" t="s">
        <v>544</v>
      </c>
      <c r="B64" s="674" t="s">
        <v>1007</v>
      </c>
      <c r="C64" s="283"/>
      <c r="D64" s="283"/>
      <c r="E64" s="687"/>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85"/>
      <c r="AE64" s="283"/>
      <c r="AF64" s="283"/>
      <c r="AG64" s="685"/>
    </row>
    <row r="65" spans="1:33" ht="13" x14ac:dyDescent="0.3">
      <c r="A65" s="677"/>
      <c r="B65" s="678" t="s">
        <v>271</v>
      </c>
      <c r="C65" s="286"/>
      <c r="D65" s="286"/>
      <c r="E65" s="286"/>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6"/>
      <c r="AF65" s="286"/>
      <c r="AG65" s="286"/>
    </row>
    <row r="66" spans="1:33" x14ac:dyDescent="0.25">
      <c r="C66" s="689"/>
    </row>
    <row r="68" spans="1:33" s="690" customFormat="1" x14ac:dyDescent="0.25">
      <c r="A68" s="667"/>
      <c r="B68" s="688"/>
      <c r="C68" s="667"/>
      <c r="D68" s="667"/>
      <c r="E68" s="667"/>
      <c r="F68" s="667"/>
      <c r="G68" s="667"/>
      <c r="H68" s="667"/>
      <c r="I68" s="667"/>
      <c r="J68" s="667"/>
      <c r="K68" s="667"/>
      <c r="L68" s="667"/>
      <c r="M68" s="667"/>
      <c r="N68" s="667"/>
      <c r="O68" s="667"/>
      <c r="P68" s="667"/>
      <c r="Q68" s="667"/>
      <c r="R68" s="667"/>
      <c r="S68" s="667"/>
      <c r="T68" s="667"/>
      <c r="U68" s="667"/>
      <c r="V68" s="667"/>
      <c r="W68" s="667"/>
      <c r="X68" s="667"/>
      <c r="Y68" s="667"/>
      <c r="Z68" s="667"/>
      <c r="AA68" s="667"/>
      <c r="AB68" s="667"/>
      <c r="AC68" s="667"/>
      <c r="AD68" s="667"/>
      <c r="AE68" s="667"/>
      <c r="AF68" s="667"/>
      <c r="AG68" s="667"/>
    </row>
    <row r="69" spans="1:33" ht="13" x14ac:dyDescent="0.3">
      <c r="B69" s="668" t="s">
        <v>551</v>
      </c>
      <c r="F69" s="669" t="s">
        <v>10</v>
      </c>
    </row>
    <row r="70" spans="1:33" ht="26.15" customHeight="1" x14ac:dyDescent="0.35">
      <c r="A70" s="670"/>
      <c r="B70" s="683" t="s">
        <v>418</v>
      </c>
      <c r="C70" s="1780" t="s">
        <v>526</v>
      </c>
      <c r="D70" s="1780" t="s">
        <v>527</v>
      </c>
      <c r="E70" s="1780" t="s">
        <v>598</v>
      </c>
      <c r="F70" s="1782" t="s">
        <v>599</v>
      </c>
      <c r="G70" s="1783"/>
      <c r="H70" s="1783"/>
      <c r="I70" s="1783"/>
      <c r="J70" s="1783"/>
      <c r="K70" s="1783"/>
      <c r="L70" s="1783"/>
      <c r="M70" s="1783"/>
      <c r="N70" s="1783"/>
      <c r="O70" s="1783"/>
      <c r="P70" s="1783"/>
      <c r="Q70" s="1783"/>
      <c r="R70" s="1783"/>
      <c r="S70" s="1783"/>
      <c r="T70" s="1783"/>
      <c r="U70" s="1783"/>
      <c r="V70" s="1783"/>
      <c r="W70" s="1783"/>
      <c r="X70" s="1783"/>
      <c r="Y70" s="1783"/>
      <c r="Z70" s="1783"/>
      <c r="AA70" s="1783"/>
      <c r="AB70" s="1783"/>
      <c r="AC70" s="1783"/>
      <c r="AD70" s="1784"/>
      <c r="AE70" s="671" t="s">
        <v>549</v>
      </c>
      <c r="AF70" s="671" t="s">
        <v>542</v>
      </c>
      <c r="AG70" s="671" t="s">
        <v>550</v>
      </c>
    </row>
    <row r="71" spans="1:33" ht="12.9" customHeight="1" x14ac:dyDescent="0.25">
      <c r="A71" s="670"/>
      <c r="B71" s="683"/>
      <c r="C71" s="1781"/>
      <c r="D71" s="1781"/>
      <c r="E71" s="1781"/>
      <c r="F71" s="672" t="s">
        <v>528</v>
      </c>
      <c r="G71" s="672" t="s">
        <v>529</v>
      </c>
      <c r="H71" s="672" t="s">
        <v>530</v>
      </c>
      <c r="I71" s="672" t="s">
        <v>531</v>
      </c>
      <c r="J71" s="672" t="s">
        <v>532</v>
      </c>
      <c r="K71" s="672" t="s">
        <v>533</v>
      </c>
      <c r="L71" s="672" t="s">
        <v>534</v>
      </c>
      <c r="M71" s="672" t="s">
        <v>535</v>
      </c>
      <c r="N71" s="672" t="s">
        <v>536</v>
      </c>
      <c r="O71" s="672" t="s">
        <v>537</v>
      </c>
      <c r="P71" s="672" t="s">
        <v>538</v>
      </c>
      <c r="Q71" s="672" t="s">
        <v>539</v>
      </c>
      <c r="R71" s="672" t="s">
        <v>540</v>
      </c>
      <c r="S71" s="672" t="s">
        <v>541</v>
      </c>
      <c r="T71" s="672" t="s">
        <v>326</v>
      </c>
      <c r="U71" s="672" t="s">
        <v>517</v>
      </c>
      <c r="V71" s="672" t="s">
        <v>518</v>
      </c>
      <c r="W71" s="672" t="s">
        <v>519</v>
      </c>
      <c r="X71" s="672" t="s">
        <v>520</v>
      </c>
      <c r="Y71" s="672" t="s">
        <v>521</v>
      </c>
      <c r="Z71" s="672" t="s">
        <v>940</v>
      </c>
      <c r="AA71" s="672" t="s">
        <v>941</v>
      </c>
      <c r="AB71" s="672" t="s">
        <v>945</v>
      </c>
      <c r="AC71" s="672" t="s">
        <v>942</v>
      </c>
      <c r="AD71" s="672" t="s">
        <v>944</v>
      </c>
      <c r="AE71" s="671"/>
      <c r="AF71" s="671"/>
      <c r="AG71" s="671"/>
    </row>
    <row r="72" spans="1:33" x14ac:dyDescent="0.25">
      <c r="A72" s="673" t="s">
        <v>543</v>
      </c>
      <c r="B72" s="674">
        <v>2005</v>
      </c>
      <c r="C72" s="691"/>
      <c r="D72" s="691"/>
      <c r="E72" s="68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685"/>
      <c r="AF72" s="685"/>
      <c r="AG72" s="685"/>
    </row>
    <row r="73" spans="1:33" x14ac:dyDescent="0.25">
      <c r="A73" s="673" t="s">
        <v>544</v>
      </c>
      <c r="B73" s="674" t="s">
        <v>528</v>
      </c>
      <c r="C73" s="691"/>
      <c r="D73" s="691"/>
      <c r="E73" s="684"/>
      <c r="F73" s="285"/>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685"/>
      <c r="AF73" s="685"/>
      <c r="AG73" s="685"/>
    </row>
    <row r="74" spans="1:33" x14ac:dyDescent="0.25">
      <c r="A74" s="673" t="s">
        <v>544</v>
      </c>
      <c r="B74" s="674" t="s">
        <v>529</v>
      </c>
      <c r="C74" s="691"/>
      <c r="D74" s="691"/>
      <c r="E74" s="684"/>
      <c r="F74" s="295"/>
      <c r="G74" s="285"/>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685"/>
      <c r="AF74" s="685"/>
      <c r="AG74" s="685"/>
    </row>
    <row r="75" spans="1:33" x14ac:dyDescent="0.25">
      <c r="A75" s="673" t="s">
        <v>544</v>
      </c>
      <c r="B75" s="674" t="s">
        <v>530</v>
      </c>
      <c r="C75" s="691"/>
      <c r="D75" s="691"/>
      <c r="E75" s="684"/>
      <c r="F75" s="295"/>
      <c r="G75" s="295"/>
      <c r="H75" s="285"/>
      <c r="I75" s="294"/>
      <c r="J75" s="294"/>
      <c r="K75" s="294"/>
      <c r="L75" s="294"/>
      <c r="M75" s="294"/>
      <c r="N75" s="294"/>
      <c r="O75" s="294"/>
      <c r="P75" s="294"/>
      <c r="Q75" s="294"/>
      <c r="R75" s="294"/>
      <c r="S75" s="294"/>
      <c r="T75" s="294"/>
      <c r="U75" s="294"/>
      <c r="V75" s="294"/>
      <c r="W75" s="294"/>
      <c r="X75" s="294"/>
      <c r="Y75" s="294"/>
      <c r="Z75" s="294"/>
      <c r="AA75" s="294"/>
      <c r="AB75" s="294"/>
      <c r="AC75" s="294"/>
      <c r="AD75" s="294"/>
      <c r="AE75" s="685"/>
      <c r="AF75" s="685"/>
      <c r="AG75" s="685"/>
    </row>
    <row r="76" spans="1:33" x14ac:dyDescent="0.25">
      <c r="A76" s="673" t="s">
        <v>544</v>
      </c>
      <c r="B76" s="674" t="s">
        <v>531</v>
      </c>
      <c r="C76" s="691"/>
      <c r="D76" s="691"/>
      <c r="E76" s="684"/>
      <c r="F76" s="295"/>
      <c r="G76" s="295"/>
      <c r="H76" s="295"/>
      <c r="I76" s="285"/>
      <c r="J76" s="294"/>
      <c r="K76" s="294"/>
      <c r="L76" s="294"/>
      <c r="M76" s="294"/>
      <c r="N76" s="294"/>
      <c r="O76" s="294"/>
      <c r="P76" s="294"/>
      <c r="Q76" s="294"/>
      <c r="R76" s="294"/>
      <c r="S76" s="294"/>
      <c r="T76" s="294"/>
      <c r="U76" s="294"/>
      <c r="V76" s="294"/>
      <c r="W76" s="294"/>
      <c r="X76" s="294"/>
      <c r="Y76" s="294"/>
      <c r="Z76" s="294"/>
      <c r="AA76" s="294"/>
      <c r="AB76" s="294"/>
      <c r="AC76" s="294"/>
      <c r="AD76" s="294"/>
      <c r="AE76" s="685"/>
      <c r="AF76" s="685"/>
      <c r="AG76" s="685"/>
    </row>
    <row r="77" spans="1:33" x14ac:dyDescent="0.25">
      <c r="A77" s="673" t="s">
        <v>544</v>
      </c>
      <c r="B77" s="674" t="s">
        <v>532</v>
      </c>
      <c r="C77" s="691"/>
      <c r="D77" s="691"/>
      <c r="E77" s="684"/>
      <c r="F77" s="295"/>
      <c r="G77" s="295"/>
      <c r="H77" s="295"/>
      <c r="I77" s="295"/>
      <c r="J77" s="285"/>
      <c r="K77" s="294"/>
      <c r="L77" s="294"/>
      <c r="M77" s="294"/>
      <c r="N77" s="294"/>
      <c r="O77" s="294"/>
      <c r="P77" s="294"/>
      <c r="Q77" s="294"/>
      <c r="R77" s="294"/>
      <c r="S77" s="294"/>
      <c r="T77" s="294"/>
      <c r="U77" s="294"/>
      <c r="V77" s="294"/>
      <c r="W77" s="294"/>
      <c r="X77" s="294"/>
      <c r="Y77" s="294"/>
      <c r="Z77" s="294"/>
      <c r="AA77" s="294"/>
      <c r="AB77" s="294"/>
      <c r="AC77" s="294"/>
      <c r="AD77" s="294"/>
      <c r="AE77" s="685"/>
      <c r="AF77" s="685"/>
      <c r="AG77" s="685"/>
    </row>
    <row r="78" spans="1:33" x14ac:dyDescent="0.25">
      <c r="A78" s="673" t="s">
        <v>544</v>
      </c>
      <c r="B78" s="674" t="s">
        <v>533</v>
      </c>
      <c r="C78" s="691"/>
      <c r="D78" s="691"/>
      <c r="E78" s="684"/>
      <c r="F78" s="295"/>
      <c r="G78" s="295"/>
      <c r="H78" s="295"/>
      <c r="I78" s="295"/>
      <c r="J78" s="295"/>
      <c r="K78" s="285"/>
      <c r="L78" s="294"/>
      <c r="M78" s="294"/>
      <c r="N78" s="294"/>
      <c r="O78" s="294"/>
      <c r="P78" s="294"/>
      <c r="Q78" s="294"/>
      <c r="R78" s="294"/>
      <c r="S78" s="294"/>
      <c r="T78" s="294"/>
      <c r="U78" s="294"/>
      <c r="V78" s="294"/>
      <c r="W78" s="294"/>
      <c r="X78" s="294"/>
      <c r="Y78" s="294"/>
      <c r="Z78" s="294"/>
      <c r="AA78" s="294"/>
      <c r="AB78" s="294"/>
      <c r="AC78" s="294"/>
      <c r="AD78" s="294"/>
      <c r="AE78" s="685"/>
      <c r="AF78" s="685"/>
      <c r="AG78" s="685"/>
    </row>
    <row r="79" spans="1:33" x14ac:dyDescent="0.25">
      <c r="A79" s="673" t="s">
        <v>544</v>
      </c>
      <c r="B79" s="674" t="s">
        <v>534</v>
      </c>
      <c r="C79" s="691"/>
      <c r="D79" s="691"/>
      <c r="E79" s="684"/>
      <c r="F79" s="295"/>
      <c r="G79" s="295"/>
      <c r="H79" s="295"/>
      <c r="I79" s="295"/>
      <c r="J79" s="295"/>
      <c r="K79" s="295"/>
      <c r="L79" s="285"/>
      <c r="M79" s="294"/>
      <c r="N79" s="294"/>
      <c r="O79" s="294"/>
      <c r="P79" s="294"/>
      <c r="Q79" s="294"/>
      <c r="R79" s="294"/>
      <c r="S79" s="294"/>
      <c r="T79" s="294"/>
      <c r="U79" s="294"/>
      <c r="V79" s="294"/>
      <c r="W79" s="294"/>
      <c r="X79" s="294"/>
      <c r="Y79" s="294"/>
      <c r="Z79" s="294"/>
      <c r="AA79" s="294"/>
      <c r="AB79" s="294"/>
      <c r="AC79" s="294"/>
      <c r="AD79" s="294"/>
      <c r="AE79" s="685"/>
      <c r="AF79" s="685"/>
      <c r="AG79" s="685"/>
    </row>
    <row r="80" spans="1:33" x14ac:dyDescent="0.25">
      <c r="A80" s="673" t="s">
        <v>544</v>
      </c>
      <c r="B80" s="674" t="s">
        <v>535</v>
      </c>
      <c r="C80" s="691"/>
      <c r="D80" s="691"/>
      <c r="E80" s="684"/>
      <c r="F80" s="295"/>
      <c r="G80" s="295"/>
      <c r="H80" s="295"/>
      <c r="I80" s="295"/>
      <c r="J80" s="295"/>
      <c r="K80" s="295"/>
      <c r="L80" s="295"/>
      <c r="M80" s="285"/>
      <c r="N80" s="294"/>
      <c r="O80" s="294"/>
      <c r="P80" s="294"/>
      <c r="Q80" s="294"/>
      <c r="R80" s="294"/>
      <c r="S80" s="294"/>
      <c r="T80" s="294"/>
      <c r="U80" s="294"/>
      <c r="V80" s="294"/>
      <c r="W80" s="294"/>
      <c r="X80" s="294"/>
      <c r="Y80" s="294"/>
      <c r="Z80" s="294"/>
      <c r="AA80" s="294"/>
      <c r="AB80" s="294"/>
      <c r="AC80" s="294"/>
      <c r="AD80" s="294"/>
      <c r="AE80" s="685"/>
      <c r="AF80" s="685"/>
      <c r="AG80" s="685"/>
    </row>
    <row r="81" spans="1:33" x14ac:dyDescent="0.25">
      <c r="A81" s="673" t="s">
        <v>544</v>
      </c>
      <c r="B81" s="674" t="s">
        <v>536</v>
      </c>
      <c r="C81" s="691"/>
      <c r="D81" s="691"/>
      <c r="E81" s="684"/>
      <c r="F81" s="295"/>
      <c r="G81" s="295"/>
      <c r="H81" s="295"/>
      <c r="I81" s="295"/>
      <c r="J81" s="295"/>
      <c r="K81" s="295"/>
      <c r="L81" s="295"/>
      <c r="M81" s="295"/>
      <c r="N81" s="285"/>
      <c r="O81" s="294"/>
      <c r="P81" s="294"/>
      <c r="Q81" s="294"/>
      <c r="R81" s="294"/>
      <c r="S81" s="294"/>
      <c r="T81" s="294"/>
      <c r="U81" s="294"/>
      <c r="V81" s="294"/>
      <c r="W81" s="294"/>
      <c r="X81" s="294"/>
      <c r="Y81" s="294"/>
      <c r="Z81" s="294"/>
      <c r="AA81" s="294"/>
      <c r="AB81" s="294"/>
      <c r="AC81" s="294"/>
      <c r="AD81" s="294"/>
      <c r="AE81" s="685"/>
      <c r="AF81" s="685"/>
      <c r="AG81" s="685"/>
    </row>
    <row r="82" spans="1:33" x14ac:dyDescent="0.25">
      <c r="A82" s="673" t="s">
        <v>544</v>
      </c>
      <c r="B82" s="674" t="s">
        <v>537</v>
      </c>
      <c r="C82" s="283"/>
      <c r="D82" s="673"/>
      <c r="E82" s="684"/>
      <c r="F82" s="295"/>
      <c r="G82" s="295"/>
      <c r="H82" s="295"/>
      <c r="I82" s="295"/>
      <c r="J82" s="295"/>
      <c r="K82" s="295"/>
      <c r="L82" s="295"/>
      <c r="M82" s="295"/>
      <c r="N82" s="295"/>
      <c r="O82" s="285"/>
      <c r="P82" s="294"/>
      <c r="Q82" s="294"/>
      <c r="R82" s="294"/>
      <c r="S82" s="294"/>
      <c r="T82" s="294"/>
      <c r="U82" s="294"/>
      <c r="V82" s="294"/>
      <c r="W82" s="294"/>
      <c r="X82" s="294"/>
      <c r="Y82" s="294"/>
      <c r="Z82" s="294"/>
      <c r="AA82" s="294"/>
      <c r="AB82" s="294"/>
      <c r="AC82" s="294"/>
      <c r="AD82" s="294"/>
      <c r="AE82" s="685"/>
      <c r="AF82" s="685"/>
      <c r="AG82" s="685"/>
    </row>
    <row r="83" spans="1:33" x14ac:dyDescent="0.25">
      <c r="A83" s="673" t="s">
        <v>544</v>
      </c>
      <c r="B83" s="674" t="s">
        <v>538</v>
      </c>
      <c r="C83" s="283"/>
      <c r="D83" s="673"/>
      <c r="E83" s="684"/>
      <c r="F83" s="295"/>
      <c r="G83" s="295"/>
      <c r="H83" s="295"/>
      <c r="I83" s="295"/>
      <c r="J83" s="295"/>
      <c r="K83" s="295"/>
      <c r="L83" s="295"/>
      <c r="M83" s="295"/>
      <c r="N83" s="295"/>
      <c r="O83" s="295"/>
      <c r="P83" s="285"/>
      <c r="Q83" s="294"/>
      <c r="R83" s="294"/>
      <c r="S83" s="294"/>
      <c r="T83" s="294"/>
      <c r="U83" s="294"/>
      <c r="V83" s="294"/>
      <c r="W83" s="294"/>
      <c r="X83" s="294"/>
      <c r="Y83" s="294"/>
      <c r="Z83" s="294"/>
      <c r="AA83" s="294"/>
      <c r="AB83" s="294"/>
      <c r="AC83" s="294"/>
      <c r="AD83" s="294"/>
      <c r="AE83" s="685"/>
      <c r="AF83" s="685"/>
      <c r="AG83" s="685"/>
    </row>
    <row r="84" spans="1:33" x14ac:dyDescent="0.25">
      <c r="A84" s="673" t="s">
        <v>544</v>
      </c>
      <c r="B84" s="674" t="s">
        <v>539</v>
      </c>
      <c r="C84" s="283"/>
      <c r="D84" s="283"/>
      <c r="E84" s="684"/>
      <c r="F84" s="295"/>
      <c r="G84" s="295"/>
      <c r="H84" s="295"/>
      <c r="I84" s="295"/>
      <c r="J84" s="295"/>
      <c r="K84" s="295"/>
      <c r="L84" s="295"/>
      <c r="M84" s="295"/>
      <c r="N84" s="295"/>
      <c r="O84" s="295"/>
      <c r="P84" s="295"/>
      <c r="Q84" s="285"/>
      <c r="R84" s="294"/>
      <c r="S84" s="294"/>
      <c r="T84" s="294"/>
      <c r="U84" s="294"/>
      <c r="V84" s="294"/>
      <c r="W84" s="294"/>
      <c r="X84" s="294"/>
      <c r="Y84" s="294"/>
      <c r="Z84" s="294"/>
      <c r="AA84" s="294"/>
      <c r="AB84" s="294"/>
      <c r="AC84" s="294"/>
      <c r="AD84" s="294"/>
      <c r="AE84" s="685"/>
      <c r="AF84" s="685"/>
      <c r="AG84" s="685"/>
    </row>
    <row r="85" spans="1:33" x14ac:dyDescent="0.25">
      <c r="A85" s="673" t="s">
        <v>544</v>
      </c>
      <c r="B85" s="674" t="s">
        <v>540</v>
      </c>
      <c r="C85" s="283"/>
      <c r="D85" s="283"/>
      <c r="E85" s="684"/>
      <c r="F85" s="295"/>
      <c r="G85" s="295"/>
      <c r="H85" s="295"/>
      <c r="I85" s="295"/>
      <c r="J85" s="295"/>
      <c r="K85" s="295"/>
      <c r="L85" s="295"/>
      <c r="M85" s="295"/>
      <c r="N85" s="295"/>
      <c r="O85" s="295"/>
      <c r="P85" s="295"/>
      <c r="Q85" s="295"/>
      <c r="R85" s="285"/>
      <c r="S85" s="294"/>
      <c r="T85" s="294"/>
      <c r="U85" s="294"/>
      <c r="V85" s="294"/>
      <c r="W85" s="294"/>
      <c r="X85" s="294"/>
      <c r="Y85" s="294"/>
      <c r="Z85" s="294"/>
      <c r="AA85" s="294"/>
      <c r="AB85" s="294"/>
      <c r="AC85" s="294"/>
      <c r="AD85" s="294"/>
      <c r="AE85" s="685"/>
      <c r="AF85" s="685"/>
      <c r="AG85" s="685"/>
    </row>
    <row r="86" spans="1:33" x14ac:dyDescent="0.25">
      <c r="A86" s="673" t="s">
        <v>544</v>
      </c>
      <c r="B86" s="674" t="s">
        <v>541</v>
      </c>
      <c r="C86" s="283"/>
      <c r="D86" s="283"/>
      <c r="E86" s="684"/>
      <c r="F86" s="295"/>
      <c r="G86" s="295"/>
      <c r="H86" s="295"/>
      <c r="I86" s="295"/>
      <c r="J86" s="295"/>
      <c r="K86" s="295"/>
      <c r="L86" s="295"/>
      <c r="M86" s="295"/>
      <c r="N86" s="295"/>
      <c r="O86" s="295"/>
      <c r="P86" s="295"/>
      <c r="Q86" s="295"/>
      <c r="R86" s="295"/>
      <c r="S86" s="285"/>
      <c r="T86" s="294"/>
      <c r="U86" s="294"/>
      <c r="V86" s="294"/>
      <c r="W86" s="294"/>
      <c r="X86" s="294"/>
      <c r="Y86" s="294"/>
      <c r="Z86" s="294"/>
      <c r="AA86" s="294"/>
      <c r="AB86" s="294"/>
      <c r="AC86" s="294"/>
      <c r="AD86" s="294"/>
      <c r="AE86" s="685"/>
      <c r="AF86" s="685"/>
      <c r="AG86" s="685"/>
    </row>
    <row r="87" spans="1:33" x14ac:dyDescent="0.25">
      <c r="A87" s="673" t="s">
        <v>544</v>
      </c>
      <c r="B87" s="674" t="s">
        <v>545</v>
      </c>
      <c r="C87" s="283"/>
      <c r="D87" s="283"/>
      <c r="E87" s="687"/>
      <c r="F87" s="295"/>
      <c r="G87" s="295"/>
      <c r="H87" s="295"/>
      <c r="I87" s="295"/>
      <c r="J87" s="295"/>
      <c r="K87" s="295"/>
      <c r="L87" s="295"/>
      <c r="M87" s="295"/>
      <c r="N87" s="295"/>
      <c r="O87" s="295"/>
      <c r="P87" s="295"/>
      <c r="Q87" s="295"/>
      <c r="R87" s="295"/>
      <c r="S87" s="295"/>
      <c r="T87" s="285"/>
      <c r="U87" s="294"/>
      <c r="V87" s="294"/>
      <c r="W87" s="294"/>
      <c r="X87" s="294"/>
      <c r="Y87" s="294"/>
      <c r="Z87" s="294"/>
      <c r="AA87" s="294"/>
      <c r="AB87" s="294"/>
      <c r="AC87" s="294"/>
      <c r="AD87" s="294"/>
      <c r="AE87" s="685"/>
      <c r="AF87" s="685"/>
      <c r="AG87" s="685"/>
    </row>
    <row r="88" spans="1:33" x14ac:dyDescent="0.25">
      <c r="A88" s="673" t="s">
        <v>544</v>
      </c>
      <c r="B88" s="674" t="s">
        <v>546</v>
      </c>
      <c r="C88" s="283"/>
      <c r="D88" s="283"/>
      <c r="E88" s="687"/>
      <c r="F88" s="295"/>
      <c r="G88" s="295"/>
      <c r="H88" s="295"/>
      <c r="I88" s="295"/>
      <c r="J88" s="295"/>
      <c r="K88" s="295"/>
      <c r="L88" s="295"/>
      <c r="M88" s="295"/>
      <c r="N88" s="295"/>
      <c r="O88" s="295"/>
      <c r="P88" s="295"/>
      <c r="Q88" s="295"/>
      <c r="R88" s="295"/>
      <c r="S88" s="295"/>
      <c r="T88" s="295"/>
      <c r="U88" s="285"/>
      <c r="V88" s="294"/>
      <c r="W88" s="294"/>
      <c r="X88" s="294"/>
      <c r="Y88" s="294"/>
      <c r="Z88" s="294"/>
      <c r="AA88" s="294"/>
      <c r="AB88" s="294"/>
      <c r="AC88" s="294"/>
      <c r="AD88" s="294"/>
      <c r="AE88" s="685"/>
      <c r="AF88" s="685"/>
      <c r="AG88" s="685"/>
    </row>
    <row r="89" spans="1:33" x14ac:dyDescent="0.25">
      <c r="A89" s="673" t="s">
        <v>544</v>
      </c>
      <c r="B89" s="674" t="s">
        <v>547</v>
      </c>
      <c r="C89" s="283"/>
      <c r="D89" s="283"/>
      <c r="E89" s="687"/>
      <c r="F89" s="295"/>
      <c r="G89" s="295"/>
      <c r="H89" s="295"/>
      <c r="I89" s="295"/>
      <c r="J89" s="295"/>
      <c r="K89" s="295"/>
      <c r="L89" s="295"/>
      <c r="M89" s="295"/>
      <c r="N89" s="295"/>
      <c r="O89" s="295"/>
      <c r="P89" s="295"/>
      <c r="Q89" s="295"/>
      <c r="R89" s="295"/>
      <c r="S89" s="295"/>
      <c r="T89" s="295"/>
      <c r="U89" s="295"/>
      <c r="V89" s="285"/>
      <c r="W89" s="294"/>
      <c r="X89" s="294"/>
      <c r="Y89" s="294"/>
      <c r="Z89" s="294"/>
      <c r="AA89" s="294"/>
      <c r="AB89" s="294"/>
      <c r="AC89" s="294"/>
      <c r="AD89" s="294"/>
      <c r="AE89" s="685"/>
      <c r="AF89" s="685"/>
      <c r="AG89" s="685"/>
    </row>
    <row r="90" spans="1:33" x14ac:dyDescent="0.25">
      <c r="A90" s="673" t="s">
        <v>544</v>
      </c>
      <c r="B90" s="674" t="s">
        <v>557</v>
      </c>
      <c r="C90" s="283"/>
      <c r="D90" s="283"/>
      <c r="E90" s="687"/>
      <c r="F90" s="295"/>
      <c r="G90" s="295"/>
      <c r="H90" s="295"/>
      <c r="I90" s="295"/>
      <c r="J90" s="295"/>
      <c r="K90" s="295"/>
      <c r="L90" s="295"/>
      <c r="M90" s="295"/>
      <c r="N90" s="295"/>
      <c r="O90" s="295"/>
      <c r="P90" s="295"/>
      <c r="Q90" s="295"/>
      <c r="R90" s="295"/>
      <c r="S90" s="295"/>
      <c r="T90" s="295"/>
      <c r="U90" s="295"/>
      <c r="V90" s="295"/>
      <c r="W90" s="285"/>
      <c r="X90" s="294"/>
      <c r="Y90" s="294"/>
      <c r="Z90" s="294"/>
      <c r="AA90" s="294"/>
      <c r="AB90" s="294"/>
      <c r="AC90" s="294"/>
      <c r="AD90" s="294"/>
      <c r="AE90" s="685"/>
      <c r="AF90" s="685"/>
      <c r="AG90" s="685"/>
    </row>
    <row r="91" spans="1:33" x14ac:dyDescent="0.25">
      <c r="A91" s="673" t="s">
        <v>544</v>
      </c>
      <c r="B91" s="674" t="s">
        <v>558</v>
      </c>
      <c r="C91" s="283"/>
      <c r="D91" s="283"/>
      <c r="E91" s="687"/>
      <c r="F91" s="295"/>
      <c r="G91" s="295"/>
      <c r="H91" s="295"/>
      <c r="I91" s="295"/>
      <c r="J91" s="295"/>
      <c r="K91" s="295"/>
      <c r="L91" s="295"/>
      <c r="M91" s="295"/>
      <c r="N91" s="295"/>
      <c r="O91" s="295"/>
      <c r="P91" s="295"/>
      <c r="Q91" s="295"/>
      <c r="R91" s="295"/>
      <c r="S91" s="295"/>
      <c r="T91" s="295"/>
      <c r="U91" s="295"/>
      <c r="V91" s="295"/>
      <c r="W91" s="295"/>
      <c r="X91" s="285"/>
      <c r="Y91" s="294"/>
      <c r="Z91" s="294"/>
      <c r="AA91" s="294"/>
      <c r="AB91" s="294"/>
      <c r="AC91" s="294"/>
      <c r="AD91" s="294"/>
      <c r="AE91" s="685"/>
      <c r="AF91" s="685"/>
      <c r="AG91" s="685"/>
    </row>
    <row r="92" spans="1:33" x14ac:dyDescent="0.25">
      <c r="A92" s="673" t="s">
        <v>544</v>
      </c>
      <c r="B92" s="674" t="s">
        <v>559</v>
      </c>
      <c r="C92" s="283"/>
      <c r="D92" s="283"/>
      <c r="E92" s="687"/>
      <c r="F92" s="295"/>
      <c r="G92" s="295"/>
      <c r="H92" s="295"/>
      <c r="I92" s="295"/>
      <c r="J92" s="295"/>
      <c r="K92" s="295"/>
      <c r="L92" s="295"/>
      <c r="M92" s="295"/>
      <c r="N92" s="295"/>
      <c r="O92" s="295"/>
      <c r="P92" s="295"/>
      <c r="Q92" s="295"/>
      <c r="R92" s="295"/>
      <c r="S92" s="295"/>
      <c r="T92" s="295"/>
      <c r="U92" s="295"/>
      <c r="V92" s="295"/>
      <c r="W92" s="295"/>
      <c r="X92" s="295"/>
      <c r="Y92" s="285"/>
      <c r="Z92" s="294"/>
      <c r="AA92" s="294"/>
      <c r="AB92" s="294"/>
      <c r="AC92" s="294"/>
      <c r="AD92" s="294"/>
      <c r="AE92" s="685"/>
      <c r="AF92" s="685"/>
      <c r="AG92" s="685"/>
    </row>
    <row r="93" spans="1:33" x14ac:dyDescent="0.25">
      <c r="A93" s="673" t="s">
        <v>544</v>
      </c>
      <c r="B93" s="674" t="s">
        <v>1003</v>
      </c>
      <c r="C93" s="283"/>
      <c r="D93" s="283"/>
      <c r="E93" s="687"/>
      <c r="F93" s="295"/>
      <c r="G93" s="295"/>
      <c r="H93" s="295"/>
      <c r="I93" s="295"/>
      <c r="J93" s="295"/>
      <c r="K93" s="295"/>
      <c r="L93" s="295"/>
      <c r="M93" s="295"/>
      <c r="N93" s="295"/>
      <c r="O93" s="295"/>
      <c r="P93" s="295"/>
      <c r="Q93" s="295"/>
      <c r="R93" s="295"/>
      <c r="S93" s="295"/>
      <c r="T93" s="295"/>
      <c r="U93" s="295"/>
      <c r="V93" s="295"/>
      <c r="W93" s="295"/>
      <c r="X93" s="295"/>
      <c r="Y93" s="295"/>
      <c r="Z93" s="285"/>
      <c r="AA93" s="294"/>
      <c r="AB93" s="294"/>
      <c r="AC93" s="294"/>
      <c r="AD93" s="294"/>
      <c r="AE93" s="283"/>
      <c r="AF93" s="283"/>
      <c r="AG93" s="685"/>
    </row>
    <row r="94" spans="1:33" x14ac:dyDescent="0.25">
      <c r="A94" s="673" t="s">
        <v>544</v>
      </c>
      <c r="B94" s="674" t="s">
        <v>1004</v>
      </c>
      <c r="C94" s="283"/>
      <c r="D94" s="283"/>
      <c r="E94" s="687"/>
      <c r="F94" s="295"/>
      <c r="G94" s="295"/>
      <c r="H94" s="295"/>
      <c r="I94" s="295"/>
      <c r="J94" s="295"/>
      <c r="K94" s="295"/>
      <c r="L94" s="295"/>
      <c r="M94" s="295"/>
      <c r="N94" s="295"/>
      <c r="O94" s="295"/>
      <c r="P94" s="295"/>
      <c r="Q94" s="295"/>
      <c r="R94" s="295"/>
      <c r="S94" s="295"/>
      <c r="T94" s="295"/>
      <c r="U94" s="295"/>
      <c r="V94" s="295"/>
      <c r="W94" s="295"/>
      <c r="X94" s="295"/>
      <c r="Y94" s="295"/>
      <c r="Z94" s="295"/>
      <c r="AA94" s="285"/>
      <c r="AB94" s="294"/>
      <c r="AC94" s="294"/>
      <c r="AD94" s="294"/>
      <c r="AE94" s="283"/>
      <c r="AF94" s="283"/>
      <c r="AG94" s="685"/>
    </row>
    <row r="95" spans="1:33" x14ac:dyDescent="0.25">
      <c r="A95" s="673" t="s">
        <v>544</v>
      </c>
      <c r="B95" s="674" t="s">
        <v>1005</v>
      </c>
      <c r="C95" s="283"/>
      <c r="D95" s="283"/>
      <c r="E95" s="687"/>
      <c r="F95" s="295"/>
      <c r="G95" s="295"/>
      <c r="H95" s="295"/>
      <c r="I95" s="295"/>
      <c r="J95" s="295"/>
      <c r="K95" s="295"/>
      <c r="L95" s="295"/>
      <c r="M95" s="295"/>
      <c r="N95" s="295"/>
      <c r="O95" s="295"/>
      <c r="P95" s="295"/>
      <c r="Q95" s="295"/>
      <c r="R95" s="295"/>
      <c r="S95" s="295"/>
      <c r="T95" s="295"/>
      <c r="U95" s="295"/>
      <c r="V95" s="295"/>
      <c r="W95" s="295"/>
      <c r="X95" s="295"/>
      <c r="Y95" s="295"/>
      <c r="Z95" s="295"/>
      <c r="AA95" s="295"/>
      <c r="AB95" s="285"/>
      <c r="AC95" s="294"/>
      <c r="AD95" s="294"/>
      <c r="AE95" s="283"/>
      <c r="AF95" s="283"/>
      <c r="AG95" s="685"/>
    </row>
    <row r="96" spans="1:33" x14ac:dyDescent="0.25">
      <c r="A96" s="673" t="s">
        <v>544</v>
      </c>
      <c r="B96" s="674" t="s">
        <v>1006</v>
      </c>
      <c r="C96" s="283"/>
      <c r="D96" s="283"/>
      <c r="E96" s="687"/>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85"/>
      <c r="AD96" s="294"/>
      <c r="AE96" s="283"/>
      <c r="AF96" s="283"/>
      <c r="AG96" s="685"/>
    </row>
    <row r="97" spans="1:33" x14ac:dyDescent="0.25">
      <c r="A97" s="673" t="s">
        <v>544</v>
      </c>
      <c r="B97" s="674" t="s">
        <v>1007</v>
      </c>
      <c r="C97" s="283"/>
      <c r="D97" s="283"/>
      <c r="E97" s="687"/>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85"/>
      <c r="AE97" s="283"/>
      <c r="AF97" s="283"/>
      <c r="AG97" s="685"/>
    </row>
    <row r="98" spans="1:33" ht="13" x14ac:dyDescent="0.3">
      <c r="A98" s="677"/>
      <c r="B98" s="678" t="s">
        <v>271</v>
      </c>
      <c r="C98" s="284"/>
      <c r="D98" s="284"/>
      <c r="E98" s="286"/>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row>
    <row r="102" spans="1:33" ht="13" x14ac:dyDescent="0.3">
      <c r="B102" s="668" t="s">
        <v>552</v>
      </c>
      <c r="F102" s="669" t="s">
        <v>10</v>
      </c>
    </row>
    <row r="103" spans="1:33" ht="26.15" customHeight="1" x14ac:dyDescent="0.35">
      <c r="A103" s="670"/>
      <c r="B103" s="683" t="s">
        <v>418</v>
      </c>
      <c r="C103" s="1780" t="s">
        <v>526</v>
      </c>
      <c r="D103" s="1780" t="s">
        <v>527</v>
      </c>
      <c r="E103" s="1780" t="s">
        <v>598</v>
      </c>
      <c r="F103" s="1782" t="s">
        <v>599</v>
      </c>
      <c r="G103" s="1783"/>
      <c r="H103" s="1783"/>
      <c r="I103" s="1783"/>
      <c r="J103" s="1783"/>
      <c r="K103" s="1783"/>
      <c r="L103" s="1783"/>
      <c r="M103" s="1783"/>
      <c r="N103" s="1783"/>
      <c r="O103" s="1783"/>
      <c r="P103" s="1783"/>
      <c r="Q103" s="1783"/>
      <c r="R103" s="1783"/>
      <c r="S103" s="1783"/>
      <c r="T103" s="1783"/>
      <c r="U103" s="1783"/>
      <c r="V103" s="1783"/>
      <c r="W103" s="1783"/>
      <c r="X103" s="1783"/>
      <c r="Y103" s="1783"/>
      <c r="Z103" s="1783"/>
      <c r="AA103" s="1783"/>
      <c r="AB103" s="1783"/>
      <c r="AC103" s="1783"/>
      <c r="AD103" s="1784"/>
      <c r="AE103" s="671" t="s">
        <v>549</v>
      </c>
      <c r="AF103" s="671" t="s">
        <v>542</v>
      </c>
      <c r="AG103" s="671" t="s">
        <v>550</v>
      </c>
    </row>
    <row r="104" spans="1:33" ht="12.9" customHeight="1" x14ac:dyDescent="0.25">
      <c r="A104" s="670"/>
      <c r="B104" s="683"/>
      <c r="C104" s="1781"/>
      <c r="D104" s="1781"/>
      <c r="E104" s="1781"/>
      <c r="F104" s="672" t="s">
        <v>528</v>
      </c>
      <c r="G104" s="672" t="s">
        <v>529</v>
      </c>
      <c r="H104" s="672" t="s">
        <v>530</v>
      </c>
      <c r="I104" s="672" t="s">
        <v>531</v>
      </c>
      <c r="J104" s="672" t="s">
        <v>532</v>
      </c>
      <c r="K104" s="672" t="s">
        <v>533</v>
      </c>
      <c r="L104" s="672" t="s">
        <v>534</v>
      </c>
      <c r="M104" s="672" t="s">
        <v>535</v>
      </c>
      <c r="N104" s="672" t="s">
        <v>536</v>
      </c>
      <c r="O104" s="672" t="s">
        <v>537</v>
      </c>
      <c r="P104" s="672" t="s">
        <v>538</v>
      </c>
      <c r="Q104" s="672" t="s">
        <v>539</v>
      </c>
      <c r="R104" s="672" t="s">
        <v>540</v>
      </c>
      <c r="S104" s="672" t="s">
        <v>541</v>
      </c>
      <c r="T104" s="672" t="s">
        <v>326</v>
      </c>
      <c r="U104" s="672" t="s">
        <v>517</v>
      </c>
      <c r="V104" s="672" t="s">
        <v>518</v>
      </c>
      <c r="W104" s="672" t="s">
        <v>519</v>
      </c>
      <c r="X104" s="672" t="s">
        <v>520</v>
      </c>
      <c r="Y104" s="672" t="s">
        <v>521</v>
      </c>
      <c r="Z104" s="672" t="s">
        <v>940</v>
      </c>
      <c r="AA104" s="672" t="s">
        <v>941</v>
      </c>
      <c r="AB104" s="672" t="s">
        <v>945</v>
      </c>
      <c r="AC104" s="672" t="s">
        <v>942</v>
      </c>
      <c r="AD104" s="672" t="s">
        <v>944</v>
      </c>
      <c r="AE104" s="671"/>
      <c r="AF104" s="671"/>
      <c r="AG104" s="671"/>
    </row>
    <row r="105" spans="1:33" x14ac:dyDescent="0.25">
      <c r="A105" s="673" t="s">
        <v>543</v>
      </c>
      <c r="B105" s="674">
        <v>2005</v>
      </c>
      <c r="C105" s="673"/>
      <c r="D105" s="673"/>
      <c r="E105" s="68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685"/>
      <c r="AF105" s="685"/>
      <c r="AG105" s="685"/>
    </row>
    <row r="106" spans="1:33" x14ac:dyDescent="0.25">
      <c r="A106" s="673" t="s">
        <v>544</v>
      </c>
      <c r="B106" s="674" t="s">
        <v>528</v>
      </c>
      <c r="C106" s="673"/>
      <c r="D106" s="673"/>
      <c r="E106" s="684"/>
      <c r="F106" s="285"/>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685"/>
      <c r="AF106" s="685"/>
      <c r="AG106" s="685"/>
    </row>
    <row r="107" spans="1:33" x14ac:dyDescent="0.25">
      <c r="A107" s="673" t="s">
        <v>544</v>
      </c>
      <c r="B107" s="674" t="s">
        <v>529</v>
      </c>
      <c r="C107" s="673"/>
      <c r="D107" s="673"/>
      <c r="E107" s="684"/>
      <c r="F107" s="295"/>
      <c r="G107" s="285"/>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685"/>
      <c r="AF107" s="685"/>
      <c r="AG107" s="685"/>
    </row>
    <row r="108" spans="1:33" x14ac:dyDescent="0.25">
      <c r="A108" s="673" t="s">
        <v>544</v>
      </c>
      <c r="B108" s="674" t="s">
        <v>530</v>
      </c>
      <c r="C108" s="673"/>
      <c r="D108" s="673"/>
      <c r="E108" s="684"/>
      <c r="F108" s="295"/>
      <c r="G108" s="295"/>
      <c r="H108" s="285"/>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685"/>
      <c r="AF108" s="685"/>
      <c r="AG108" s="685"/>
    </row>
    <row r="109" spans="1:33" x14ac:dyDescent="0.25">
      <c r="A109" s="673" t="s">
        <v>544</v>
      </c>
      <c r="B109" s="674" t="s">
        <v>531</v>
      </c>
      <c r="C109" s="673"/>
      <c r="D109" s="673"/>
      <c r="E109" s="684"/>
      <c r="F109" s="295"/>
      <c r="G109" s="295"/>
      <c r="H109" s="295"/>
      <c r="I109" s="285"/>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685"/>
      <c r="AF109" s="685"/>
      <c r="AG109" s="685"/>
    </row>
    <row r="110" spans="1:33" x14ac:dyDescent="0.25">
      <c r="A110" s="673" t="s">
        <v>544</v>
      </c>
      <c r="B110" s="674" t="s">
        <v>532</v>
      </c>
      <c r="C110" s="673"/>
      <c r="D110" s="673"/>
      <c r="E110" s="684"/>
      <c r="F110" s="295"/>
      <c r="G110" s="295"/>
      <c r="H110" s="295"/>
      <c r="I110" s="295"/>
      <c r="J110" s="285"/>
      <c r="K110" s="294"/>
      <c r="L110" s="294"/>
      <c r="M110" s="294"/>
      <c r="N110" s="294"/>
      <c r="O110" s="294"/>
      <c r="P110" s="294"/>
      <c r="Q110" s="294"/>
      <c r="R110" s="294"/>
      <c r="S110" s="294"/>
      <c r="T110" s="294"/>
      <c r="U110" s="294"/>
      <c r="V110" s="294"/>
      <c r="W110" s="294"/>
      <c r="X110" s="294"/>
      <c r="Y110" s="294"/>
      <c r="Z110" s="294"/>
      <c r="AA110" s="294"/>
      <c r="AB110" s="294"/>
      <c r="AC110" s="294"/>
      <c r="AD110" s="294"/>
      <c r="AE110" s="685"/>
      <c r="AF110" s="685"/>
      <c r="AG110" s="685"/>
    </row>
    <row r="111" spans="1:33" x14ac:dyDescent="0.25">
      <c r="A111" s="673" t="s">
        <v>544</v>
      </c>
      <c r="B111" s="674" t="s">
        <v>533</v>
      </c>
      <c r="C111" s="673"/>
      <c r="D111" s="673"/>
      <c r="E111" s="684"/>
      <c r="F111" s="295"/>
      <c r="G111" s="295"/>
      <c r="H111" s="295"/>
      <c r="I111" s="295"/>
      <c r="J111" s="295"/>
      <c r="K111" s="285"/>
      <c r="L111" s="294"/>
      <c r="M111" s="294"/>
      <c r="N111" s="294"/>
      <c r="O111" s="294"/>
      <c r="P111" s="294"/>
      <c r="Q111" s="294"/>
      <c r="R111" s="294"/>
      <c r="S111" s="294"/>
      <c r="T111" s="294"/>
      <c r="U111" s="294"/>
      <c r="V111" s="294"/>
      <c r="W111" s="294"/>
      <c r="X111" s="294"/>
      <c r="Y111" s="294"/>
      <c r="Z111" s="294"/>
      <c r="AA111" s="294"/>
      <c r="AB111" s="294"/>
      <c r="AC111" s="294"/>
      <c r="AD111" s="294"/>
      <c r="AE111" s="685"/>
      <c r="AF111" s="685"/>
      <c r="AG111" s="685"/>
    </row>
    <row r="112" spans="1:33" x14ac:dyDescent="0.25">
      <c r="A112" s="673" t="s">
        <v>544</v>
      </c>
      <c r="B112" s="674" t="s">
        <v>534</v>
      </c>
      <c r="C112" s="673"/>
      <c r="D112" s="673"/>
      <c r="E112" s="684"/>
      <c r="F112" s="295"/>
      <c r="G112" s="295"/>
      <c r="H112" s="295"/>
      <c r="I112" s="295"/>
      <c r="J112" s="295"/>
      <c r="K112" s="295"/>
      <c r="L112" s="285"/>
      <c r="M112" s="294"/>
      <c r="N112" s="294"/>
      <c r="O112" s="294"/>
      <c r="P112" s="294"/>
      <c r="Q112" s="294"/>
      <c r="R112" s="294"/>
      <c r="S112" s="294"/>
      <c r="T112" s="294"/>
      <c r="U112" s="294"/>
      <c r="V112" s="294"/>
      <c r="W112" s="294"/>
      <c r="X112" s="294"/>
      <c r="Y112" s="294"/>
      <c r="Z112" s="294"/>
      <c r="AA112" s="294"/>
      <c r="AB112" s="294"/>
      <c r="AC112" s="294"/>
      <c r="AD112" s="294"/>
      <c r="AE112" s="685"/>
      <c r="AF112" s="685"/>
      <c r="AG112" s="685"/>
    </row>
    <row r="113" spans="1:33" x14ac:dyDescent="0.25">
      <c r="A113" s="673" t="s">
        <v>544</v>
      </c>
      <c r="B113" s="674" t="s">
        <v>535</v>
      </c>
      <c r="C113" s="673"/>
      <c r="D113" s="673"/>
      <c r="E113" s="684"/>
      <c r="F113" s="295"/>
      <c r="G113" s="295"/>
      <c r="H113" s="295"/>
      <c r="I113" s="295"/>
      <c r="J113" s="295"/>
      <c r="K113" s="295"/>
      <c r="L113" s="295"/>
      <c r="M113" s="285"/>
      <c r="N113" s="294"/>
      <c r="O113" s="294"/>
      <c r="P113" s="294"/>
      <c r="Q113" s="294"/>
      <c r="R113" s="294"/>
      <c r="S113" s="294"/>
      <c r="T113" s="294"/>
      <c r="U113" s="294"/>
      <c r="V113" s="294"/>
      <c r="W113" s="294"/>
      <c r="X113" s="294"/>
      <c r="Y113" s="294"/>
      <c r="Z113" s="294"/>
      <c r="AA113" s="294"/>
      <c r="AB113" s="294"/>
      <c r="AC113" s="294"/>
      <c r="AD113" s="294"/>
      <c r="AE113" s="685"/>
      <c r="AF113" s="685"/>
      <c r="AG113" s="685"/>
    </row>
    <row r="114" spans="1:33" x14ac:dyDescent="0.25">
      <c r="A114" s="673" t="s">
        <v>544</v>
      </c>
      <c r="B114" s="674" t="s">
        <v>536</v>
      </c>
      <c r="C114" s="673"/>
      <c r="D114" s="673"/>
      <c r="E114" s="684"/>
      <c r="F114" s="295"/>
      <c r="G114" s="295"/>
      <c r="H114" s="295"/>
      <c r="I114" s="295"/>
      <c r="J114" s="295"/>
      <c r="K114" s="295"/>
      <c r="L114" s="295"/>
      <c r="M114" s="295"/>
      <c r="N114" s="285"/>
      <c r="O114" s="294"/>
      <c r="P114" s="294"/>
      <c r="Q114" s="294"/>
      <c r="R114" s="294"/>
      <c r="S114" s="294"/>
      <c r="T114" s="294"/>
      <c r="U114" s="294"/>
      <c r="V114" s="294"/>
      <c r="W114" s="294"/>
      <c r="X114" s="294"/>
      <c r="Y114" s="294"/>
      <c r="Z114" s="294"/>
      <c r="AA114" s="294"/>
      <c r="AB114" s="294"/>
      <c r="AC114" s="294"/>
      <c r="AD114" s="294"/>
      <c r="AE114" s="685"/>
      <c r="AF114" s="685"/>
      <c r="AG114" s="685"/>
    </row>
    <row r="115" spans="1:33" x14ac:dyDescent="0.25">
      <c r="A115" s="673" t="s">
        <v>544</v>
      </c>
      <c r="B115" s="674" t="s">
        <v>537</v>
      </c>
      <c r="C115" s="283"/>
      <c r="D115" s="673"/>
      <c r="E115" s="684"/>
      <c r="F115" s="295"/>
      <c r="G115" s="295"/>
      <c r="H115" s="295"/>
      <c r="I115" s="295"/>
      <c r="J115" s="295"/>
      <c r="K115" s="295"/>
      <c r="L115" s="295"/>
      <c r="M115" s="295"/>
      <c r="N115" s="295"/>
      <c r="O115" s="285"/>
      <c r="P115" s="294"/>
      <c r="Q115" s="294"/>
      <c r="R115" s="294"/>
      <c r="S115" s="294"/>
      <c r="T115" s="294"/>
      <c r="U115" s="294"/>
      <c r="V115" s="294"/>
      <c r="W115" s="294"/>
      <c r="X115" s="294"/>
      <c r="Y115" s="294"/>
      <c r="Z115" s="294"/>
      <c r="AA115" s="294"/>
      <c r="AB115" s="294"/>
      <c r="AC115" s="294"/>
      <c r="AD115" s="294"/>
      <c r="AE115" s="685"/>
      <c r="AF115" s="685"/>
      <c r="AG115" s="685"/>
    </row>
    <row r="116" spans="1:33" x14ac:dyDescent="0.25">
      <c r="A116" s="673" t="s">
        <v>544</v>
      </c>
      <c r="B116" s="674" t="s">
        <v>538</v>
      </c>
      <c r="C116" s="283"/>
      <c r="D116" s="673"/>
      <c r="E116" s="684"/>
      <c r="F116" s="295"/>
      <c r="G116" s="295"/>
      <c r="H116" s="295"/>
      <c r="I116" s="295"/>
      <c r="J116" s="295"/>
      <c r="K116" s="295"/>
      <c r="L116" s="295"/>
      <c r="M116" s="295"/>
      <c r="N116" s="295"/>
      <c r="O116" s="295"/>
      <c r="P116" s="285"/>
      <c r="Q116" s="294"/>
      <c r="R116" s="294"/>
      <c r="S116" s="294"/>
      <c r="T116" s="294"/>
      <c r="U116" s="294"/>
      <c r="V116" s="294"/>
      <c r="W116" s="294"/>
      <c r="X116" s="294"/>
      <c r="Y116" s="294"/>
      <c r="Z116" s="294"/>
      <c r="AA116" s="294"/>
      <c r="AB116" s="294"/>
      <c r="AC116" s="294"/>
      <c r="AD116" s="294"/>
      <c r="AE116" s="685"/>
      <c r="AF116" s="685"/>
      <c r="AG116" s="685"/>
    </row>
    <row r="117" spans="1:33" x14ac:dyDescent="0.25">
      <c r="A117" s="673" t="s">
        <v>544</v>
      </c>
      <c r="B117" s="674" t="s">
        <v>539</v>
      </c>
      <c r="C117" s="283"/>
      <c r="D117" s="283"/>
      <c r="E117" s="684"/>
      <c r="F117" s="295"/>
      <c r="G117" s="295"/>
      <c r="H117" s="295"/>
      <c r="I117" s="295"/>
      <c r="J117" s="295"/>
      <c r="K117" s="295"/>
      <c r="L117" s="295"/>
      <c r="M117" s="295"/>
      <c r="N117" s="295"/>
      <c r="O117" s="295"/>
      <c r="P117" s="295"/>
      <c r="Q117" s="285"/>
      <c r="R117" s="294"/>
      <c r="S117" s="294"/>
      <c r="T117" s="294"/>
      <c r="U117" s="294"/>
      <c r="V117" s="294"/>
      <c r="W117" s="294"/>
      <c r="X117" s="294"/>
      <c r="Y117" s="294"/>
      <c r="Z117" s="294"/>
      <c r="AA117" s="294"/>
      <c r="AB117" s="294"/>
      <c r="AC117" s="294"/>
      <c r="AD117" s="294"/>
      <c r="AE117" s="685"/>
      <c r="AF117" s="685"/>
      <c r="AG117" s="685"/>
    </row>
    <row r="118" spans="1:33" x14ac:dyDescent="0.25">
      <c r="A118" s="673" t="s">
        <v>544</v>
      </c>
      <c r="B118" s="674" t="s">
        <v>540</v>
      </c>
      <c r="C118" s="283"/>
      <c r="D118" s="283"/>
      <c r="E118" s="684"/>
      <c r="F118" s="295"/>
      <c r="G118" s="295"/>
      <c r="H118" s="295"/>
      <c r="I118" s="295"/>
      <c r="J118" s="295"/>
      <c r="K118" s="295"/>
      <c r="L118" s="295"/>
      <c r="M118" s="295"/>
      <c r="N118" s="295"/>
      <c r="O118" s="295"/>
      <c r="P118" s="295"/>
      <c r="Q118" s="295"/>
      <c r="R118" s="285"/>
      <c r="S118" s="294"/>
      <c r="T118" s="294"/>
      <c r="U118" s="294"/>
      <c r="V118" s="294"/>
      <c r="W118" s="294"/>
      <c r="X118" s="294"/>
      <c r="Y118" s="294"/>
      <c r="Z118" s="294"/>
      <c r="AA118" s="294"/>
      <c r="AB118" s="294"/>
      <c r="AC118" s="294"/>
      <c r="AD118" s="294"/>
      <c r="AE118" s="685"/>
      <c r="AF118" s="685"/>
      <c r="AG118" s="685"/>
    </row>
    <row r="119" spans="1:33" x14ac:dyDescent="0.25">
      <c r="A119" s="673" t="s">
        <v>544</v>
      </c>
      <c r="B119" s="674" t="s">
        <v>541</v>
      </c>
      <c r="C119" s="283"/>
      <c r="D119" s="283"/>
      <c r="E119" s="684"/>
      <c r="F119" s="295"/>
      <c r="G119" s="295"/>
      <c r="H119" s="295"/>
      <c r="I119" s="295"/>
      <c r="J119" s="295"/>
      <c r="K119" s="295"/>
      <c r="L119" s="295"/>
      <c r="M119" s="295"/>
      <c r="N119" s="295"/>
      <c r="O119" s="295"/>
      <c r="P119" s="295"/>
      <c r="Q119" s="295"/>
      <c r="R119" s="295"/>
      <c r="S119" s="285"/>
      <c r="T119" s="294"/>
      <c r="U119" s="294"/>
      <c r="V119" s="294"/>
      <c r="W119" s="294"/>
      <c r="X119" s="294"/>
      <c r="Y119" s="294"/>
      <c r="Z119" s="294"/>
      <c r="AA119" s="294"/>
      <c r="AB119" s="294"/>
      <c r="AC119" s="294"/>
      <c r="AD119" s="294"/>
      <c r="AE119" s="685"/>
      <c r="AF119" s="685"/>
      <c r="AG119" s="685"/>
    </row>
    <row r="120" spans="1:33" x14ac:dyDescent="0.25">
      <c r="A120" s="673" t="s">
        <v>544</v>
      </c>
      <c r="B120" s="674" t="s">
        <v>545</v>
      </c>
      <c r="C120" s="283"/>
      <c r="D120" s="283"/>
      <c r="E120" s="687"/>
      <c r="F120" s="295"/>
      <c r="G120" s="295"/>
      <c r="H120" s="295"/>
      <c r="I120" s="295"/>
      <c r="J120" s="295"/>
      <c r="K120" s="295"/>
      <c r="L120" s="295"/>
      <c r="M120" s="295"/>
      <c r="N120" s="295"/>
      <c r="O120" s="295"/>
      <c r="P120" s="295"/>
      <c r="Q120" s="295"/>
      <c r="R120" s="295"/>
      <c r="S120" s="295"/>
      <c r="T120" s="285"/>
      <c r="U120" s="294"/>
      <c r="V120" s="294"/>
      <c r="W120" s="294"/>
      <c r="X120" s="294"/>
      <c r="Y120" s="294"/>
      <c r="Z120" s="294"/>
      <c r="AA120" s="294"/>
      <c r="AB120" s="294"/>
      <c r="AC120" s="294"/>
      <c r="AD120" s="294"/>
      <c r="AE120" s="685"/>
      <c r="AF120" s="685"/>
      <c r="AG120" s="685"/>
    </row>
    <row r="121" spans="1:33" x14ac:dyDescent="0.25">
      <c r="A121" s="673" t="s">
        <v>544</v>
      </c>
      <c r="B121" s="674" t="s">
        <v>546</v>
      </c>
      <c r="C121" s="283"/>
      <c r="D121" s="283"/>
      <c r="E121" s="687"/>
      <c r="F121" s="295"/>
      <c r="G121" s="295"/>
      <c r="H121" s="295"/>
      <c r="I121" s="295"/>
      <c r="J121" s="295"/>
      <c r="K121" s="295"/>
      <c r="L121" s="295"/>
      <c r="M121" s="295"/>
      <c r="N121" s="295"/>
      <c r="O121" s="295"/>
      <c r="P121" s="295"/>
      <c r="Q121" s="295"/>
      <c r="R121" s="295"/>
      <c r="S121" s="295"/>
      <c r="T121" s="295"/>
      <c r="U121" s="285"/>
      <c r="V121" s="294"/>
      <c r="W121" s="294"/>
      <c r="X121" s="294"/>
      <c r="Y121" s="294"/>
      <c r="Z121" s="294"/>
      <c r="AA121" s="294"/>
      <c r="AB121" s="294"/>
      <c r="AC121" s="294"/>
      <c r="AD121" s="294"/>
      <c r="AE121" s="685"/>
      <c r="AF121" s="685"/>
      <c r="AG121" s="685"/>
    </row>
    <row r="122" spans="1:33" x14ac:dyDescent="0.25">
      <c r="A122" s="673" t="s">
        <v>544</v>
      </c>
      <c r="B122" s="674" t="s">
        <v>547</v>
      </c>
      <c r="C122" s="283"/>
      <c r="D122" s="283"/>
      <c r="E122" s="687"/>
      <c r="F122" s="295"/>
      <c r="G122" s="295"/>
      <c r="H122" s="295"/>
      <c r="I122" s="295"/>
      <c r="J122" s="295"/>
      <c r="K122" s="295"/>
      <c r="L122" s="295"/>
      <c r="M122" s="295"/>
      <c r="N122" s="295"/>
      <c r="O122" s="295"/>
      <c r="P122" s="295"/>
      <c r="Q122" s="295"/>
      <c r="R122" s="295"/>
      <c r="S122" s="295"/>
      <c r="T122" s="295"/>
      <c r="U122" s="295"/>
      <c r="V122" s="285"/>
      <c r="W122" s="294"/>
      <c r="X122" s="294"/>
      <c r="Y122" s="294"/>
      <c r="Z122" s="294"/>
      <c r="AA122" s="294"/>
      <c r="AB122" s="294"/>
      <c r="AC122" s="294"/>
      <c r="AD122" s="294"/>
      <c r="AE122" s="685"/>
      <c r="AF122" s="685"/>
      <c r="AG122" s="685"/>
    </row>
    <row r="123" spans="1:33" x14ac:dyDescent="0.25">
      <c r="A123" s="673" t="s">
        <v>544</v>
      </c>
      <c r="B123" s="674" t="s">
        <v>557</v>
      </c>
      <c r="C123" s="283"/>
      <c r="D123" s="283"/>
      <c r="E123" s="687"/>
      <c r="F123" s="295"/>
      <c r="G123" s="295"/>
      <c r="H123" s="295"/>
      <c r="I123" s="295"/>
      <c r="J123" s="295"/>
      <c r="K123" s="295"/>
      <c r="L123" s="295"/>
      <c r="M123" s="295"/>
      <c r="N123" s="295"/>
      <c r="O123" s="295"/>
      <c r="P123" s="295"/>
      <c r="Q123" s="295"/>
      <c r="R123" s="295"/>
      <c r="S123" s="295"/>
      <c r="T123" s="295"/>
      <c r="U123" s="295"/>
      <c r="V123" s="295"/>
      <c r="W123" s="285"/>
      <c r="X123" s="294"/>
      <c r="Y123" s="294"/>
      <c r="Z123" s="294"/>
      <c r="AA123" s="294"/>
      <c r="AB123" s="294"/>
      <c r="AC123" s="294"/>
      <c r="AD123" s="294"/>
      <c r="AE123" s="685"/>
      <c r="AF123" s="685"/>
      <c r="AG123" s="685"/>
    </row>
    <row r="124" spans="1:33" x14ac:dyDescent="0.25">
      <c r="A124" s="673" t="s">
        <v>544</v>
      </c>
      <c r="B124" s="674" t="s">
        <v>558</v>
      </c>
      <c r="C124" s="283"/>
      <c r="D124" s="283"/>
      <c r="E124" s="687"/>
      <c r="F124" s="295"/>
      <c r="G124" s="295"/>
      <c r="H124" s="295"/>
      <c r="I124" s="295"/>
      <c r="J124" s="295"/>
      <c r="K124" s="295"/>
      <c r="L124" s="295"/>
      <c r="M124" s="295"/>
      <c r="N124" s="295"/>
      <c r="O124" s="295"/>
      <c r="P124" s="295"/>
      <c r="Q124" s="295"/>
      <c r="R124" s="295"/>
      <c r="S124" s="295"/>
      <c r="T124" s="295"/>
      <c r="U124" s="295"/>
      <c r="V124" s="295"/>
      <c r="W124" s="295"/>
      <c r="X124" s="285"/>
      <c r="Y124" s="294"/>
      <c r="Z124" s="294"/>
      <c r="AA124" s="294"/>
      <c r="AB124" s="294"/>
      <c r="AC124" s="294"/>
      <c r="AD124" s="294"/>
      <c r="AE124" s="685"/>
      <c r="AF124" s="685"/>
      <c r="AG124" s="685"/>
    </row>
    <row r="125" spans="1:33" x14ac:dyDescent="0.25">
      <c r="A125" s="673" t="s">
        <v>544</v>
      </c>
      <c r="B125" s="674" t="s">
        <v>559</v>
      </c>
      <c r="C125" s="283"/>
      <c r="D125" s="283"/>
      <c r="E125" s="687"/>
      <c r="F125" s="295"/>
      <c r="G125" s="295"/>
      <c r="H125" s="295"/>
      <c r="I125" s="295"/>
      <c r="J125" s="295"/>
      <c r="K125" s="295"/>
      <c r="L125" s="295"/>
      <c r="M125" s="295"/>
      <c r="N125" s="295"/>
      <c r="O125" s="295"/>
      <c r="P125" s="295"/>
      <c r="Q125" s="295"/>
      <c r="R125" s="295"/>
      <c r="S125" s="295"/>
      <c r="T125" s="295"/>
      <c r="U125" s="295"/>
      <c r="V125" s="295"/>
      <c r="W125" s="295"/>
      <c r="X125" s="295"/>
      <c r="Y125" s="285"/>
      <c r="Z125" s="294"/>
      <c r="AA125" s="294"/>
      <c r="AB125" s="294"/>
      <c r="AC125" s="294"/>
      <c r="AD125" s="294"/>
      <c r="AE125" s="685"/>
      <c r="AF125" s="685"/>
      <c r="AG125" s="685"/>
    </row>
    <row r="126" spans="1:33" x14ac:dyDescent="0.25">
      <c r="A126" s="673" t="s">
        <v>544</v>
      </c>
      <c r="B126" s="674" t="s">
        <v>1003</v>
      </c>
      <c r="C126" s="283"/>
      <c r="D126" s="283"/>
      <c r="E126" s="687"/>
      <c r="F126" s="295"/>
      <c r="G126" s="295"/>
      <c r="H126" s="295"/>
      <c r="I126" s="295"/>
      <c r="J126" s="295"/>
      <c r="K126" s="295"/>
      <c r="L126" s="295"/>
      <c r="M126" s="295"/>
      <c r="N126" s="295"/>
      <c r="O126" s="295"/>
      <c r="P126" s="295"/>
      <c r="Q126" s="295"/>
      <c r="R126" s="295"/>
      <c r="S126" s="295"/>
      <c r="T126" s="295"/>
      <c r="U126" s="295"/>
      <c r="V126" s="295"/>
      <c r="W126" s="295"/>
      <c r="X126" s="295"/>
      <c r="Y126" s="295"/>
      <c r="Z126" s="285"/>
      <c r="AA126" s="294"/>
      <c r="AB126" s="294"/>
      <c r="AC126" s="294"/>
      <c r="AD126" s="294"/>
      <c r="AE126" s="283"/>
      <c r="AF126" s="283"/>
      <c r="AG126" s="685"/>
    </row>
    <row r="127" spans="1:33" x14ac:dyDescent="0.25">
      <c r="A127" s="673" t="s">
        <v>544</v>
      </c>
      <c r="B127" s="674" t="s">
        <v>1004</v>
      </c>
      <c r="C127" s="283"/>
      <c r="D127" s="283"/>
      <c r="E127" s="687"/>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85"/>
      <c r="AB127" s="294"/>
      <c r="AC127" s="294"/>
      <c r="AD127" s="294"/>
      <c r="AE127" s="283"/>
      <c r="AF127" s="283"/>
      <c r="AG127" s="685"/>
    </row>
    <row r="128" spans="1:33" x14ac:dyDescent="0.25">
      <c r="A128" s="673" t="s">
        <v>544</v>
      </c>
      <c r="B128" s="674" t="s">
        <v>1005</v>
      </c>
      <c r="C128" s="283"/>
      <c r="D128" s="283"/>
      <c r="E128" s="687"/>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85"/>
      <c r="AC128" s="294"/>
      <c r="AD128" s="294"/>
      <c r="AE128" s="283"/>
      <c r="AF128" s="283"/>
      <c r="AG128" s="685"/>
    </row>
    <row r="129" spans="1:33" x14ac:dyDescent="0.25">
      <c r="A129" s="673" t="s">
        <v>544</v>
      </c>
      <c r="B129" s="674" t="s">
        <v>1006</v>
      </c>
      <c r="C129" s="283"/>
      <c r="D129" s="283"/>
      <c r="E129" s="687"/>
      <c r="F129" s="295"/>
      <c r="G129" s="295"/>
      <c r="H129" s="295"/>
      <c r="I129" s="295"/>
      <c r="J129" s="295"/>
      <c r="K129" s="295"/>
      <c r="L129" s="295"/>
      <c r="M129" s="295"/>
      <c r="N129" s="295"/>
      <c r="O129" s="295"/>
      <c r="P129" s="295"/>
      <c r="Q129" s="295"/>
      <c r="R129" s="295"/>
      <c r="S129" s="295"/>
      <c r="T129" s="295"/>
      <c r="U129" s="295"/>
      <c r="V129" s="295"/>
      <c r="W129" s="295"/>
      <c r="X129" s="295"/>
      <c r="Y129" s="295"/>
      <c r="Z129" s="295"/>
      <c r="AA129" s="295"/>
      <c r="AB129" s="295"/>
      <c r="AC129" s="285"/>
      <c r="AD129" s="294"/>
      <c r="AE129" s="283"/>
      <c r="AF129" s="283"/>
      <c r="AG129" s="685"/>
    </row>
    <row r="130" spans="1:33" x14ac:dyDescent="0.25">
      <c r="A130" s="673" t="s">
        <v>544</v>
      </c>
      <c r="B130" s="674" t="s">
        <v>1007</v>
      </c>
      <c r="C130" s="283"/>
      <c r="D130" s="283"/>
      <c r="E130" s="687"/>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85"/>
      <c r="AE130" s="283"/>
      <c r="AF130" s="283"/>
      <c r="AG130" s="685"/>
    </row>
    <row r="131" spans="1:33" ht="13" x14ac:dyDescent="0.3">
      <c r="A131" s="677"/>
      <c r="B131" s="678" t="s">
        <v>271</v>
      </c>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row>
    <row r="132" spans="1:33" x14ac:dyDescent="0.25">
      <c r="C132" s="689"/>
    </row>
    <row r="134" spans="1:33" x14ac:dyDescent="0.25">
      <c r="F134" s="679"/>
    </row>
    <row r="135" spans="1:33" ht="13" x14ac:dyDescent="0.3">
      <c r="B135" s="668" t="s">
        <v>553</v>
      </c>
      <c r="F135" s="669" t="s">
        <v>10</v>
      </c>
    </row>
    <row r="136" spans="1:33" ht="26.15" customHeight="1" x14ac:dyDescent="0.35">
      <c r="A136" s="670"/>
      <c r="B136" s="683" t="s">
        <v>418</v>
      </c>
      <c r="C136" s="1780" t="s">
        <v>526</v>
      </c>
      <c r="D136" s="1780" t="s">
        <v>527</v>
      </c>
      <c r="E136" s="1780" t="s">
        <v>598</v>
      </c>
      <c r="F136" s="1782" t="s">
        <v>599</v>
      </c>
      <c r="G136" s="1783"/>
      <c r="H136" s="1783"/>
      <c r="I136" s="1783"/>
      <c r="J136" s="1783"/>
      <c r="K136" s="1783"/>
      <c r="L136" s="1783"/>
      <c r="M136" s="1783"/>
      <c r="N136" s="1783"/>
      <c r="O136" s="1783"/>
      <c r="P136" s="1783"/>
      <c r="Q136" s="1783"/>
      <c r="R136" s="1783"/>
      <c r="S136" s="1783"/>
      <c r="T136" s="1783"/>
      <c r="U136" s="1783"/>
      <c r="V136" s="1783"/>
      <c r="W136" s="1783"/>
      <c r="X136" s="1783"/>
      <c r="Y136" s="1783"/>
      <c r="Z136" s="1783"/>
      <c r="AA136" s="1783"/>
      <c r="AB136" s="1783"/>
      <c r="AC136" s="1783"/>
      <c r="AD136" s="1784"/>
      <c r="AE136" s="671" t="s">
        <v>549</v>
      </c>
      <c r="AF136" s="671" t="s">
        <v>542</v>
      </c>
      <c r="AG136" s="671" t="s">
        <v>550</v>
      </c>
    </row>
    <row r="137" spans="1:33" ht="12.9" customHeight="1" x14ac:dyDescent="0.25">
      <c r="A137" s="670"/>
      <c r="B137" s="683"/>
      <c r="C137" s="1781"/>
      <c r="D137" s="1781"/>
      <c r="E137" s="1781"/>
      <c r="F137" s="672" t="s">
        <v>528</v>
      </c>
      <c r="G137" s="672" t="s">
        <v>529</v>
      </c>
      <c r="H137" s="672" t="s">
        <v>530</v>
      </c>
      <c r="I137" s="672" t="s">
        <v>531</v>
      </c>
      <c r="J137" s="672" t="s">
        <v>532</v>
      </c>
      <c r="K137" s="672" t="s">
        <v>533</v>
      </c>
      <c r="L137" s="672" t="s">
        <v>534</v>
      </c>
      <c r="M137" s="672" t="s">
        <v>535</v>
      </c>
      <c r="N137" s="672" t="s">
        <v>536</v>
      </c>
      <c r="O137" s="672" t="s">
        <v>537</v>
      </c>
      <c r="P137" s="672" t="s">
        <v>538</v>
      </c>
      <c r="Q137" s="672" t="s">
        <v>539</v>
      </c>
      <c r="R137" s="672" t="s">
        <v>540</v>
      </c>
      <c r="S137" s="672" t="s">
        <v>541</v>
      </c>
      <c r="T137" s="672" t="s">
        <v>326</v>
      </c>
      <c r="U137" s="672" t="s">
        <v>517</v>
      </c>
      <c r="V137" s="672" t="s">
        <v>518</v>
      </c>
      <c r="W137" s="672" t="s">
        <v>519</v>
      </c>
      <c r="X137" s="672" t="s">
        <v>520</v>
      </c>
      <c r="Y137" s="672" t="s">
        <v>521</v>
      </c>
      <c r="Z137" s="672" t="s">
        <v>940</v>
      </c>
      <c r="AA137" s="672" t="s">
        <v>941</v>
      </c>
      <c r="AB137" s="672" t="s">
        <v>945</v>
      </c>
      <c r="AC137" s="672" t="s">
        <v>942</v>
      </c>
      <c r="AD137" s="672" t="s">
        <v>944</v>
      </c>
      <c r="AE137" s="671"/>
      <c r="AF137" s="671"/>
      <c r="AG137" s="671"/>
    </row>
    <row r="138" spans="1:33" x14ac:dyDescent="0.25">
      <c r="A138" s="673" t="s">
        <v>543</v>
      </c>
      <c r="B138" s="674">
        <v>2005</v>
      </c>
      <c r="C138" s="673"/>
      <c r="D138" s="673"/>
      <c r="E138" s="68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685"/>
      <c r="AF138" s="685"/>
      <c r="AG138" s="685"/>
    </row>
    <row r="139" spans="1:33" x14ac:dyDescent="0.25">
      <c r="A139" s="673" t="s">
        <v>544</v>
      </c>
      <c r="B139" s="674" t="s">
        <v>528</v>
      </c>
      <c r="C139" s="673"/>
      <c r="D139" s="673"/>
      <c r="E139" s="684"/>
      <c r="F139" s="285"/>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685"/>
      <c r="AF139" s="685"/>
      <c r="AG139" s="685"/>
    </row>
    <row r="140" spans="1:33" x14ac:dyDescent="0.25">
      <c r="A140" s="673" t="s">
        <v>544</v>
      </c>
      <c r="B140" s="674" t="s">
        <v>529</v>
      </c>
      <c r="C140" s="673"/>
      <c r="D140" s="673"/>
      <c r="E140" s="684"/>
      <c r="F140" s="295"/>
      <c r="G140" s="285"/>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685"/>
      <c r="AF140" s="685"/>
      <c r="AG140" s="685"/>
    </row>
    <row r="141" spans="1:33" x14ac:dyDescent="0.25">
      <c r="A141" s="673" t="s">
        <v>544</v>
      </c>
      <c r="B141" s="674" t="s">
        <v>530</v>
      </c>
      <c r="C141" s="673"/>
      <c r="D141" s="673"/>
      <c r="E141" s="684"/>
      <c r="F141" s="295"/>
      <c r="G141" s="295"/>
      <c r="H141" s="285"/>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685"/>
      <c r="AF141" s="685"/>
      <c r="AG141" s="685"/>
    </row>
    <row r="142" spans="1:33" x14ac:dyDescent="0.25">
      <c r="A142" s="673" t="s">
        <v>544</v>
      </c>
      <c r="B142" s="674" t="s">
        <v>531</v>
      </c>
      <c r="C142" s="673"/>
      <c r="D142" s="673"/>
      <c r="E142" s="684"/>
      <c r="F142" s="295"/>
      <c r="G142" s="295"/>
      <c r="H142" s="295"/>
      <c r="I142" s="285"/>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685"/>
      <c r="AF142" s="685"/>
      <c r="AG142" s="685"/>
    </row>
    <row r="143" spans="1:33" x14ac:dyDescent="0.25">
      <c r="A143" s="673" t="s">
        <v>544</v>
      </c>
      <c r="B143" s="674" t="s">
        <v>532</v>
      </c>
      <c r="C143" s="673"/>
      <c r="D143" s="673"/>
      <c r="E143" s="684"/>
      <c r="F143" s="295"/>
      <c r="G143" s="295"/>
      <c r="H143" s="295"/>
      <c r="I143" s="295"/>
      <c r="J143" s="285"/>
      <c r="K143" s="294"/>
      <c r="L143" s="294"/>
      <c r="M143" s="294"/>
      <c r="N143" s="294"/>
      <c r="O143" s="294"/>
      <c r="P143" s="294"/>
      <c r="Q143" s="294"/>
      <c r="R143" s="294"/>
      <c r="S143" s="294"/>
      <c r="T143" s="294"/>
      <c r="U143" s="294"/>
      <c r="V143" s="294"/>
      <c r="W143" s="294"/>
      <c r="X143" s="294"/>
      <c r="Y143" s="294"/>
      <c r="Z143" s="294"/>
      <c r="AA143" s="294"/>
      <c r="AB143" s="294"/>
      <c r="AC143" s="294"/>
      <c r="AD143" s="294"/>
      <c r="AE143" s="685"/>
      <c r="AF143" s="685"/>
      <c r="AG143" s="685"/>
    </row>
    <row r="144" spans="1:33" x14ac:dyDescent="0.25">
      <c r="A144" s="673" t="s">
        <v>544</v>
      </c>
      <c r="B144" s="674" t="s">
        <v>533</v>
      </c>
      <c r="C144" s="673"/>
      <c r="D144" s="673"/>
      <c r="E144" s="684"/>
      <c r="F144" s="295"/>
      <c r="G144" s="295"/>
      <c r="H144" s="295"/>
      <c r="I144" s="295"/>
      <c r="J144" s="295"/>
      <c r="K144" s="285"/>
      <c r="L144" s="294"/>
      <c r="M144" s="294"/>
      <c r="N144" s="294"/>
      <c r="O144" s="294"/>
      <c r="P144" s="294"/>
      <c r="Q144" s="294"/>
      <c r="R144" s="294"/>
      <c r="S144" s="294"/>
      <c r="T144" s="294"/>
      <c r="U144" s="294"/>
      <c r="V144" s="294"/>
      <c r="W144" s="294"/>
      <c r="X144" s="294"/>
      <c r="Y144" s="294"/>
      <c r="Z144" s="294"/>
      <c r="AA144" s="294"/>
      <c r="AB144" s="294"/>
      <c r="AC144" s="294"/>
      <c r="AD144" s="294"/>
      <c r="AE144" s="685"/>
      <c r="AF144" s="685"/>
      <c r="AG144" s="685"/>
    </row>
    <row r="145" spans="1:33" x14ac:dyDescent="0.25">
      <c r="A145" s="673" t="s">
        <v>544</v>
      </c>
      <c r="B145" s="674" t="s">
        <v>534</v>
      </c>
      <c r="C145" s="673"/>
      <c r="D145" s="673"/>
      <c r="E145" s="684"/>
      <c r="F145" s="295"/>
      <c r="G145" s="295"/>
      <c r="H145" s="295"/>
      <c r="I145" s="295"/>
      <c r="J145" s="295"/>
      <c r="K145" s="295"/>
      <c r="L145" s="285"/>
      <c r="M145" s="294"/>
      <c r="N145" s="294"/>
      <c r="O145" s="294"/>
      <c r="P145" s="294"/>
      <c r="Q145" s="294"/>
      <c r="R145" s="294"/>
      <c r="S145" s="294"/>
      <c r="T145" s="294"/>
      <c r="U145" s="294"/>
      <c r="V145" s="294"/>
      <c r="W145" s="294"/>
      <c r="X145" s="294"/>
      <c r="Y145" s="294"/>
      <c r="Z145" s="294"/>
      <c r="AA145" s="294"/>
      <c r="AB145" s="294"/>
      <c r="AC145" s="294"/>
      <c r="AD145" s="294"/>
      <c r="AE145" s="685"/>
      <c r="AF145" s="685"/>
      <c r="AG145" s="685"/>
    </row>
    <row r="146" spans="1:33" x14ac:dyDescent="0.25">
      <c r="A146" s="673" t="s">
        <v>544</v>
      </c>
      <c r="B146" s="674" t="s">
        <v>535</v>
      </c>
      <c r="C146" s="673"/>
      <c r="D146" s="673"/>
      <c r="E146" s="684"/>
      <c r="F146" s="295"/>
      <c r="G146" s="295"/>
      <c r="H146" s="295"/>
      <c r="I146" s="295"/>
      <c r="J146" s="295"/>
      <c r="K146" s="295"/>
      <c r="L146" s="295"/>
      <c r="M146" s="285"/>
      <c r="N146" s="294"/>
      <c r="O146" s="294"/>
      <c r="P146" s="294"/>
      <c r="Q146" s="294"/>
      <c r="R146" s="294"/>
      <c r="S146" s="294"/>
      <c r="T146" s="294"/>
      <c r="U146" s="294"/>
      <c r="V146" s="294"/>
      <c r="W146" s="294"/>
      <c r="X146" s="294"/>
      <c r="Y146" s="294"/>
      <c r="Z146" s="294"/>
      <c r="AA146" s="294"/>
      <c r="AB146" s="294"/>
      <c r="AC146" s="294"/>
      <c r="AD146" s="294"/>
      <c r="AE146" s="685"/>
      <c r="AF146" s="685"/>
      <c r="AG146" s="685"/>
    </row>
    <row r="147" spans="1:33" x14ac:dyDescent="0.25">
      <c r="A147" s="673" t="s">
        <v>544</v>
      </c>
      <c r="B147" s="674" t="s">
        <v>536</v>
      </c>
      <c r="C147" s="673"/>
      <c r="D147" s="673"/>
      <c r="E147" s="684"/>
      <c r="F147" s="295"/>
      <c r="G147" s="295"/>
      <c r="H147" s="295"/>
      <c r="I147" s="295"/>
      <c r="J147" s="295"/>
      <c r="K147" s="295"/>
      <c r="L147" s="295"/>
      <c r="M147" s="295"/>
      <c r="N147" s="285"/>
      <c r="O147" s="294"/>
      <c r="P147" s="294"/>
      <c r="Q147" s="294"/>
      <c r="R147" s="294"/>
      <c r="S147" s="294"/>
      <c r="T147" s="294"/>
      <c r="U147" s="294"/>
      <c r="V147" s="294"/>
      <c r="W147" s="294"/>
      <c r="X147" s="294"/>
      <c r="Y147" s="294"/>
      <c r="Z147" s="294"/>
      <c r="AA147" s="294"/>
      <c r="AB147" s="294"/>
      <c r="AC147" s="294"/>
      <c r="AD147" s="294"/>
      <c r="AE147" s="685"/>
      <c r="AF147" s="685"/>
      <c r="AG147" s="685"/>
    </row>
    <row r="148" spans="1:33" x14ac:dyDescent="0.25">
      <c r="A148" s="673" t="s">
        <v>544</v>
      </c>
      <c r="B148" s="674" t="s">
        <v>537</v>
      </c>
      <c r="C148" s="283"/>
      <c r="D148" s="673"/>
      <c r="E148" s="684"/>
      <c r="F148" s="295"/>
      <c r="G148" s="295"/>
      <c r="H148" s="295"/>
      <c r="I148" s="295"/>
      <c r="J148" s="295"/>
      <c r="K148" s="295"/>
      <c r="L148" s="295"/>
      <c r="M148" s="295"/>
      <c r="N148" s="295"/>
      <c r="O148" s="285"/>
      <c r="P148" s="294"/>
      <c r="Q148" s="294"/>
      <c r="R148" s="294"/>
      <c r="S148" s="294"/>
      <c r="T148" s="294"/>
      <c r="U148" s="294"/>
      <c r="V148" s="294"/>
      <c r="W148" s="294"/>
      <c r="X148" s="294"/>
      <c r="Y148" s="294"/>
      <c r="Z148" s="294"/>
      <c r="AA148" s="294"/>
      <c r="AB148" s="294"/>
      <c r="AC148" s="294"/>
      <c r="AD148" s="294"/>
      <c r="AE148" s="685"/>
      <c r="AF148" s="685"/>
      <c r="AG148" s="685"/>
    </row>
    <row r="149" spans="1:33" x14ac:dyDescent="0.25">
      <c r="A149" s="673" t="s">
        <v>544</v>
      </c>
      <c r="B149" s="674" t="s">
        <v>538</v>
      </c>
      <c r="C149" s="283"/>
      <c r="D149" s="673"/>
      <c r="E149" s="684"/>
      <c r="F149" s="295"/>
      <c r="G149" s="295"/>
      <c r="H149" s="295"/>
      <c r="I149" s="295"/>
      <c r="J149" s="295"/>
      <c r="K149" s="295"/>
      <c r="L149" s="295"/>
      <c r="M149" s="295"/>
      <c r="N149" s="295"/>
      <c r="O149" s="295"/>
      <c r="P149" s="285"/>
      <c r="Q149" s="294"/>
      <c r="R149" s="294"/>
      <c r="S149" s="294"/>
      <c r="T149" s="294"/>
      <c r="U149" s="294"/>
      <c r="V149" s="294"/>
      <c r="W149" s="294"/>
      <c r="X149" s="294"/>
      <c r="Y149" s="294"/>
      <c r="Z149" s="294"/>
      <c r="AA149" s="294"/>
      <c r="AB149" s="294"/>
      <c r="AC149" s="294"/>
      <c r="AD149" s="294"/>
      <c r="AE149" s="685"/>
      <c r="AF149" s="685"/>
      <c r="AG149" s="685"/>
    </row>
    <row r="150" spans="1:33" x14ac:dyDescent="0.25">
      <c r="A150" s="673" t="s">
        <v>544</v>
      </c>
      <c r="B150" s="674" t="s">
        <v>539</v>
      </c>
      <c r="C150" s="283"/>
      <c r="D150" s="283"/>
      <c r="E150" s="684"/>
      <c r="F150" s="295"/>
      <c r="G150" s="295"/>
      <c r="H150" s="295"/>
      <c r="I150" s="295"/>
      <c r="J150" s="295"/>
      <c r="K150" s="295"/>
      <c r="L150" s="295"/>
      <c r="M150" s="295"/>
      <c r="N150" s="295"/>
      <c r="O150" s="295"/>
      <c r="P150" s="295"/>
      <c r="Q150" s="285"/>
      <c r="R150" s="294"/>
      <c r="S150" s="294"/>
      <c r="T150" s="294"/>
      <c r="U150" s="294"/>
      <c r="V150" s="294"/>
      <c r="W150" s="294"/>
      <c r="X150" s="294"/>
      <c r="Y150" s="294"/>
      <c r="Z150" s="294"/>
      <c r="AA150" s="294"/>
      <c r="AB150" s="294"/>
      <c r="AC150" s="294"/>
      <c r="AD150" s="294"/>
      <c r="AE150" s="685"/>
      <c r="AF150" s="685"/>
      <c r="AG150" s="685"/>
    </row>
    <row r="151" spans="1:33" x14ac:dyDescent="0.25">
      <c r="A151" s="673" t="s">
        <v>544</v>
      </c>
      <c r="B151" s="674" t="s">
        <v>540</v>
      </c>
      <c r="C151" s="283"/>
      <c r="D151" s="283"/>
      <c r="E151" s="684"/>
      <c r="F151" s="295"/>
      <c r="G151" s="295"/>
      <c r="H151" s="295"/>
      <c r="I151" s="295"/>
      <c r="J151" s="295"/>
      <c r="K151" s="295"/>
      <c r="L151" s="295"/>
      <c r="M151" s="295"/>
      <c r="N151" s="295"/>
      <c r="O151" s="295"/>
      <c r="P151" s="295"/>
      <c r="Q151" s="295"/>
      <c r="R151" s="285"/>
      <c r="S151" s="294"/>
      <c r="T151" s="294"/>
      <c r="U151" s="294"/>
      <c r="V151" s="294"/>
      <c r="W151" s="294"/>
      <c r="X151" s="294"/>
      <c r="Y151" s="294"/>
      <c r="Z151" s="294"/>
      <c r="AA151" s="294"/>
      <c r="AB151" s="294"/>
      <c r="AC151" s="294"/>
      <c r="AD151" s="294"/>
      <c r="AE151" s="685"/>
      <c r="AF151" s="685"/>
      <c r="AG151" s="685"/>
    </row>
    <row r="152" spans="1:33" x14ac:dyDescent="0.25">
      <c r="A152" s="673" t="s">
        <v>544</v>
      </c>
      <c r="B152" s="674" t="s">
        <v>541</v>
      </c>
      <c r="C152" s="283"/>
      <c r="D152" s="283"/>
      <c r="E152" s="684"/>
      <c r="F152" s="295"/>
      <c r="G152" s="295"/>
      <c r="H152" s="295"/>
      <c r="I152" s="295"/>
      <c r="J152" s="295"/>
      <c r="K152" s="295"/>
      <c r="L152" s="295"/>
      <c r="M152" s="295"/>
      <c r="N152" s="295"/>
      <c r="O152" s="295"/>
      <c r="P152" s="295"/>
      <c r="Q152" s="295"/>
      <c r="R152" s="295"/>
      <c r="S152" s="285"/>
      <c r="T152" s="294"/>
      <c r="U152" s="294"/>
      <c r="V152" s="294"/>
      <c r="W152" s="294"/>
      <c r="X152" s="294"/>
      <c r="Y152" s="294"/>
      <c r="Z152" s="294"/>
      <c r="AA152" s="294"/>
      <c r="AB152" s="294"/>
      <c r="AC152" s="294"/>
      <c r="AD152" s="294"/>
      <c r="AE152" s="685"/>
      <c r="AF152" s="685"/>
      <c r="AG152" s="685"/>
    </row>
    <row r="153" spans="1:33" x14ac:dyDescent="0.25">
      <c r="A153" s="673" t="s">
        <v>544</v>
      </c>
      <c r="B153" s="674" t="s">
        <v>545</v>
      </c>
      <c r="C153" s="283"/>
      <c r="D153" s="283"/>
      <c r="E153" s="687"/>
      <c r="F153" s="295"/>
      <c r="G153" s="295"/>
      <c r="H153" s="295"/>
      <c r="I153" s="295"/>
      <c r="J153" s="295"/>
      <c r="K153" s="295"/>
      <c r="L153" s="295"/>
      <c r="M153" s="295"/>
      <c r="N153" s="295"/>
      <c r="O153" s="295"/>
      <c r="P153" s="295"/>
      <c r="Q153" s="295"/>
      <c r="R153" s="295"/>
      <c r="S153" s="295"/>
      <c r="T153" s="285"/>
      <c r="U153" s="294"/>
      <c r="V153" s="294"/>
      <c r="W153" s="294"/>
      <c r="X153" s="294"/>
      <c r="Y153" s="294"/>
      <c r="Z153" s="294"/>
      <c r="AA153" s="294"/>
      <c r="AB153" s="294"/>
      <c r="AC153" s="294"/>
      <c r="AD153" s="294"/>
      <c r="AE153" s="685"/>
      <c r="AF153" s="685"/>
      <c r="AG153" s="685"/>
    </row>
    <row r="154" spans="1:33" x14ac:dyDescent="0.25">
      <c r="A154" s="673" t="s">
        <v>544</v>
      </c>
      <c r="B154" s="674" t="s">
        <v>546</v>
      </c>
      <c r="C154" s="283"/>
      <c r="D154" s="283"/>
      <c r="E154" s="687"/>
      <c r="F154" s="295"/>
      <c r="G154" s="295"/>
      <c r="H154" s="295"/>
      <c r="I154" s="295"/>
      <c r="J154" s="295"/>
      <c r="K154" s="295"/>
      <c r="L154" s="295"/>
      <c r="M154" s="295"/>
      <c r="N154" s="295"/>
      <c r="O154" s="295"/>
      <c r="P154" s="295"/>
      <c r="Q154" s="295"/>
      <c r="R154" s="295"/>
      <c r="S154" s="295"/>
      <c r="T154" s="295"/>
      <c r="U154" s="285"/>
      <c r="V154" s="294"/>
      <c r="W154" s="294"/>
      <c r="X154" s="294"/>
      <c r="Y154" s="294"/>
      <c r="Z154" s="294"/>
      <c r="AA154" s="294"/>
      <c r="AB154" s="294"/>
      <c r="AC154" s="294"/>
      <c r="AD154" s="294"/>
      <c r="AE154" s="685"/>
      <c r="AF154" s="685"/>
      <c r="AG154" s="685"/>
    </row>
    <row r="155" spans="1:33" x14ac:dyDescent="0.25">
      <c r="A155" s="673" t="s">
        <v>544</v>
      </c>
      <c r="B155" s="674" t="s">
        <v>547</v>
      </c>
      <c r="C155" s="283"/>
      <c r="D155" s="283"/>
      <c r="E155" s="687"/>
      <c r="F155" s="295"/>
      <c r="G155" s="295"/>
      <c r="H155" s="295"/>
      <c r="I155" s="295"/>
      <c r="J155" s="295"/>
      <c r="K155" s="295"/>
      <c r="L155" s="295"/>
      <c r="M155" s="295"/>
      <c r="N155" s="295"/>
      <c r="O155" s="295"/>
      <c r="P155" s="295"/>
      <c r="Q155" s="295"/>
      <c r="R155" s="295"/>
      <c r="S155" s="295"/>
      <c r="T155" s="295"/>
      <c r="U155" s="295"/>
      <c r="V155" s="285"/>
      <c r="W155" s="294"/>
      <c r="X155" s="294"/>
      <c r="Y155" s="294"/>
      <c r="Z155" s="294"/>
      <c r="AA155" s="294"/>
      <c r="AB155" s="294"/>
      <c r="AC155" s="294"/>
      <c r="AD155" s="294"/>
      <c r="AE155" s="685"/>
      <c r="AF155" s="685"/>
      <c r="AG155" s="685"/>
    </row>
    <row r="156" spans="1:33" x14ac:dyDescent="0.25">
      <c r="A156" s="673" t="s">
        <v>544</v>
      </c>
      <c r="B156" s="674" t="s">
        <v>557</v>
      </c>
      <c r="C156" s="283"/>
      <c r="D156" s="283"/>
      <c r="E156" s="687"/>
      <c r="F156" s="295"/>
      <c r="G156" s="295"/>
      <c r="H156" s="295"/>
      <c r="I156" s="295"/>
      <c r="J156" s="295"/>
      <c r="K156" s="295"/>
      <c r="L156" s="295"/>
      <c r="M156" s="295"/>
      <c r="N156" s="295"/>
      <c r="O156" s="295"/>
      <c r="P156" s="295"/>
      <c r="Q156" s="295"/>
      <c r="R156" s="295"/>
      <c r="S156" s="295"/>
      <c r="T156" s="295"/>
      <c r="U156" s="295"/>
      <c r="V156" s="295"/>
      <c r="W156" s="285"/>
      <c r="X156" s="294"/>
      <c r="Y156" s="294"/>
      <c r="Z156" s="294"/>
      <c r="AA156" s="294"/>
      <c r="AB156" s="294"/>
      <c r="AC156" s="294"/>
      <c r="AD156" s="294"/>
      <c r="AE156" s="685"/>
      <c r="AF156" s="685"/>
      <c r="AG156" s="685"/>
    </row>
    <row r="157" spans="1:33" x14ac:dyDescent="0.25">
      <c r="A157" s="673" t="s">
        <v>544</v>
      </c>
      <c r="B157" s="674" t="s">
        <v>558</v>
      </c>
      <c r="C157" s="283"/>
      <c r="D157" s="283"/>
      <c r="E157" s="687"/>
      <c r="F157" s="295"/>
      <c r="G157" s="295"/>
      <c r="H157" s="295"/>
      <c r="I157" s="295"/>
      <c r="J157" s="295"/>
      <c r="K157" s="295"/>
      <c r="L157" s="295"/>
      <c r="M157" s="295"/>
      <c r="N157" s="295"/>
      <c r="O157" s="295"/>
      <c r="P157" s="295"/>
      <c r="Q157" s="295"/>
      <c r="R157" s="295"/>
      <c r="S157" s="295"/>
      <c r="T157" s="295"/>
      <c r="U157" s="295"/>
      <c r="V157" s="295"/>
      <c r="W157" s="295"/>
      <c r="X157" s="285"/>
      <c r="Y157" s="294"/>
      <c r="Z157" s="294"/>
      <c r="AA157" s="294"/>
      <c r="AB157" s="294"/>
      <c r="AC157" s="294"/>
      <c r="AD157" s="294"/>
      <c r="AE157" s="685"/>
      <c r="AF157" s="685"/>
      <c r="AG157" s="685"/>
    </row>
    <row r="158" spans="1:33" x14ac:dyDescent="0.25">
      <c r="A158" s="673" t="s">
        <v>544</v>
      </c>
      <c r="B158" s="674" t="s">
        <v>559</v>
      </c>
      <c r="C158" s="283"/>
      <c r="D158" s="283"/>
      <c r="E158" s="687"/>
      <c r="F158" s="295"/>
      <c r="G158" s="295"/>
      <c r="H158" s="295"/>
      <c r="I158" s="295"/>
      <c r="J158" s="295"/>
      <c r="K158" s="295"/>
      <c r="L158" s="295"/>
      <c r="M158" s="295"/>
      <c r="N158" s="295"/>
      <c r="O158" s="295"/>
      <c r="P158" s="295"/>
      <c r="Q158" s="295"/>
      <c r="R158" s="295"/>
      <c r="S158" s="295"/>
      <c r="T158" s="295"/>
      <c r="U158" s="295"/>
      <c r="V158" s="295"/>
      <c r="W158" s="295"/>
      <c r="X158" s="295"/>
      <c r="Y158" s="285"/>
      <c r="Z158" s="294"/>
      <c r="AA158" s="294"/>
      <c r="AB158" s="294"/>
      <c r="AC158" s="294"/>
      <c r="AD158" s="294"/>
      <c r="AE158" s="685"/>
      <c r="AF158" s="685"/>
      <c r="AG158" s="685"/>
    </row>
    <row r="159" spans="1:33" x14ac:dyDescent="0.25">
      <c r="A159" s="673" t="s">
        <v>544</v>
      </c>
      <c r="B159" s="674" t="s">
        <v>1003</v>
      </c>
      <c r="C159" s="283"/>
      <c r="D159" s="283"/>
      <c r="E159" s="687"/>
      <c r="F159" s="295"/>
      <c r="G159" s="295"/>
      <c r="H159" s="295"/>
      <c r="I159" s="295"/>
      <c r="J159" s="295"/>
      <c r="K159" s="295"/>
      <c r="L159" s="295"/>
      <c r="M159" s="295"/>
      <c r="N159" s="295"/>
      <c r="O159" s="295"/>
      <c r="P159" s="295"/>
      <c r="Q159" s="295"/>
      <c r="R159" s="295"/>
      <c r="S159" s="295"/>
      <c r="T159" s="295"/>
      <c r="U159" s="295"/>
      <c r="V159" s="295"/>
      <c r="W159" s="295"/>
      <c r="X159" s="295"/>
      <c r="Y159" s="295"/>
      <c r="Z159" s="285"/>
      <c r="AA159" s="294"/>
      <c r="AB159" s="294"/>
      <c r="AC159" s="294"/>
      <c r="AD159" s="294"/>
      <c r="AE159" s="283"/>
      <c r="AF159" s="283"/>
      <c r="AG159" s="685"/>
    </row>
    <row r="160" spans="1:33" x14ac:dyDescent="0.25">
      <c r="A160" s="673" t="s">
        <v>544</v>
      </c>
      <c r="B160" s="674" t="s">
        <v>1004</v>
      </c>
      <c r="C160" s="283"/>
      <c r="D160" s="283"/>
      <c r="E160" s="687"/>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85"/>
      <c r="AB160" s="294"/>
      <c r="AC160" s="294"/>
      <c r="AD160" s="294"/>
      <c r="AE160" s="283"/>
      <c r="AF160" s="283"/>
      <c r="AG160" s="685"/>
    </row>
    <row r="161" spans="1:33" x14ac:dyDescent="0.25">
      <c r="A161" s="673" t="s">
        <v>544</v>
      </c>
      <c r="B161" s="674" t="s">
        <v>1005</v>
      </c>
      <c r="C161" s="283"/>
      <c r="D161" s="283"/>
      <c r="E161" s="687"/>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85"/>
      <c r="AC161" s="294"/>
      <c r="AD161" s="294"/>
      <c r="AE161" s="283"/>
      <c r="AF161" s="283"/>
      <c r="AG161" s="685"/>
    </row>
    <row r="162" spans="1:33" x14ac:dyDescent="0.25">
      <c r="A162" s="673" t="s">
        <v>544</v>
      </c>
      <c r="B162" s="674" t="s">
        <v>1006</v>
      </c>
      <c r="C162" s="283"/>
      <c r="D162" s="283"/>
      <c r="E162" s="687"/>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85"/>
      <c r="AD162" s="294"/>
      <c r="AE162" s="283"/>
      <c r="AF162" s="283"/>
      <c r="AG162" s="685"/>
    </row>
    <row r="163" spans="1:33" x14ac:dyDescent="0.25">
      <c r="A163" s="673" t="s">
        <v>544</v>
      </c>
      <c r="B163" s="674" t="s">
        <v>1007</v>
      </c>
      <c r="C163" s="283"/>
      <c r="D163" s="283"/>
      <c r="E163" s="687"/>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85"/>
      <c r="AE163" s="283"/>
      <c r="AF163" s="283"/>
      <c r="AG163" s="685"/>
    </row>
    <row r="164" spans="1:33" ht="13" x14ac:dyDescent="0.3">
      <c r="A164" s="677"/>
      <c r="B164" s="678" t="s">
        <v>271</v>
      </c>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row>
    <row r="165" spans="1:33" x14ac:dyDescent="0.25">
      <c r="C165" s="689"/>
    </row>
    <row r="168" spans="1:33" ht="13" x14ac:dyDescent="0.3">
      <c r="B168" s="668" t="s">
        <v>554</v>
      </c>
      <c r="F168" s="669" t="s">
        <v>10</v>
      </c>
    </row>
    <row r="169" spans="1:33" ht="26.15" customHeight="1" x14ac:dyDescent="0.35">
      <c r="A169" s="670"/>
      <c r="B169" s="683" t="s">
        <v>418</v>
      </c>
      <c r="C169" s="1780" t="s">
        <v>526</v>
      </c>
      <c r="D169" s="1780" t="s">
        <v>527</v>
      </c>
      <c r="E169" s="1780" t="s">
        <v>598</v>
      </c>
      <c r="F169" s="1782" t="s">
        <v>599</v>
      </c>
      <c r="G169" s="1783"/>
      <c r="H169" s="1783"/>
      <c r="I169" s="1783"/>
      <c r="J169" s="1783"/>
      <c r="K169" s="1783"/>
      <c r="L169" s="1783"/>
      <c r="M169" s="1783"/>
      <c r="N169" s="1783"/>
      <c r="O169" s="1783"/>
      <c r="P169" s="1783"/>
      <c r="Q169" s="1783"/>
      <c r="R169" s="1783"/>
      <c r="S169" s="1783"/>
      <c r="T169" s="1783"/>
      <c r="U169" s="1783"/>
      <c r="V169" s="1783"/>
      <c r="W169" s="1783"/>
      <c r="X169" s="1783"/>
      <c r="Y169" s="1783"/>
      <c r="Z169" s="1783"/>
      <c r="AA169" s="1783"/>
      <c r="AB169" s="1783"/>
      <c r="AC169" s="1783"/>
      <c r="AD169" s="1784"/>
      <c r="AE169" s="671" t="s">
        <v>549</v>
      </c>
      <c r="AF169" s="671" t="s">
        <v>542</v>
      </c>
      <c r="AG169" s="671" t="s">
        <v>550</v>
      </c>
    </row>
    <row r="170" spans="1:33" ht="12.9" customHeight="1" x14ac:dyDescent="0.25">
      <c r="A170" s="670"/>
      <c r="B170" s="683"/>
      <c r="C170" s="1781"/>
      <c r="D170" s="1781"/>
      <c r="E170" s="1781"/>
      <c r="F170" s="672" t="s">
        <v>528</v>
      </c>
      <c r="G170" s="672" t="s">
        <v>529</v>
      </c>
      <c r="H170" s="672" t="s">
        <v>530</v>
      </c>
      <c r="I170" s="672" t="s">
        <v>531</v>
      </c>
      <c r="J170" s="672" t="s">
        <v>532</v>
      </c>
      <c r="K170" s="672" t="s">
        <v>533</v>
      </c>
      <c r="L170" s="672" t="s">
        <v>534</v>
      </c>
      <c r="M170" s="672" t="s">
        <v>535</v>
      </c>
      <c r="N170" s="672" t="s">
        <v>536</v>
      </c>
      <c r="O170" s="672" t="s">
        <v>537</v>
      </c>
      <c r="P170" s="672" t="s">
        <v>538</v>
      </c>
      <c r="Q170" s="672" t="s">
        <v>539</v>
      </c>
      <c r="R170" s="672" t="s">
        <v>540</v>
      </c>
      <c r="S170" s="672" t="s">
        <v>541</v>
      </c>
      <c r="T170" s="672" t="s">
        <v>326</v>
      </c>
      <c r="U170" s="672" t="s">
        <v>517</v>
      </c>
      <c r="V170" s="672" t="s">
        <v>518</v>
      </c>
      <c r="W170" s="672" t="s">
        <v>519</v>
      </c>
      <c r="X170" s="672" t="s">
        <v>520</v>
      </c>
      <c r="Y170" s="672" t="s">
        <v>521</v>
      </c>
      <c r="Z170" s="672" t="s">
        <v>940</v>
      </c>
      <c r="AA170" s="672" t="s">
        <v>941</v>
      </c>
      <c r="AB170" s="672" t="s">
        <v>945</v>
      </c>
      <c r="AC170" s="672" t="s">
        <v>942</v>
      </c>
      <c r="AD170" s="672" t="s">
        <v>944</v>
      </c>
      <c r="AE170" s="671"/>
      <c r="AF170" s="671"/>
      <c r="AG170" s="671"/>
    </row>
    <row r="171" spans="1:33" x14ac:dyDescent="0.25">
      <c r="A171" s="673" t="s">
        <v>543</v>
      </c>
      <c r="B171" s="674">
        <v>2005</v>
      </c>
      <c r="C171" s="673"/>
      <c r="D171" s="673"/>
      <c r="E171" s="68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685"/>
      <c r="AF171" s="685"/>
      <c r="AG171" s="685"/>
    </row>
    <row r="172" spans="1:33" x14ac:dyDescent="0.25">
      <c r="A172" s="673" t="s">
        <v>544</v>
      </c>
      <c r="B172" s="674" t="s">
        <v>528</v>
      </c>
      <c r="C172" s="673"/>
      <c r="D172" s="673"/>
      <c r="E172" s="684"/>
      <c r="F172" s="285"/>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685"/>
      <c r="AF172" s="685"/>
      <c r="AG172" s="685"/>
    </row>
    <row r="173" spans="1:33" x14ac:dyDescent="0.25">
      <c r="A173" s="673" t="s">
        <v>544</v>
      </c>
      <c r="B173" s="674" t="s">
        <v>529</v>
      </c>
      <c r="C173" s="673"/>
      <c r="D173" s="673"/>
      <c r="E173" s="684"/>
      <c r="F173" s="295"/>
      <c r="G173" s="285"/>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685"/>
      <c r="AF173" s="685"/>
      <c r="AG173" s="685"/>
    </row>
    <row r="174" spans="1:33" x14ac:dyDescent="0.25">
      <c r="A174" s="673" t="s">
        <v>544</v>
      </c>
      <c r="B174" s="674" t="s">
        <v>530</v>
      </c>
      <c r="C174" s="673"/>
      <c r="D174" s="673"/>
      <c r="E174" s="684"/>
      <c r="F174" s="295"/>
      <c r="G174" s="295"/>
      <c r="H174" s="285"/>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685"/>
      <c r="AF174" s="685"/>
      <c r="AG174" s="685"/>
    </row>
    <row r="175" spans="1:33" x14ac:dyDescent="0.25">
      <c r="A175" s="673" t="s">
        <v>544</v>
      </c>
      <c r="B175" s="674" t="s">
        <v>531</v>
      </c>
      <c r="C175" s="673"/>
      <c r="D175" s="673"/>
      <c r="E175" s="684"/>
      <c r="F175" s="295"/>
      <c r="G175" s="295"/>
      <c r="H175" s="295"/>
      <c r="I175" s="285"/>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685"/>
      <c r="AF175" s="685"/>
      <c r="AG175" s="685"/>
    </row>
    <row r="176" spans="1:33" x14ac:dyDescent="0.25">
      <c r="A176" s="673" t="s">
        <v>544</v>
      </c>
      <c r="B176" s="674" t="s">
        <v>532</v>
      </c>
      <c r="C176" s="673"/>
      <c r="D176" s="673"/>
      <c r="E176" s="684"/>
      <c r="F176" s="295"/>
      <c r="G176" s="295"/>
      <c r="H176" s="295"/>
      <c r="I176" s="295"/>
      <c r="J176" s="285"/>
      <c r="K176" s="294"/>
      <c r="L176" s="294"/>
      <c r="M176" s="294"/>
      <c r="N176" s="294"/>
      <c r="O176" s="294"/>
      <c r="P176" s="294"/>
      <c r="Q176" s="294"/>
      <c r="R176" s="294"/>
      <c r="S176" s="294"/>
      <c r="T176" s="294"/>
      <c r="U176" s="294"/>
      <c r="V176" s="294"/>
      <c r="W176" s="294"/>
      <c r="X176" s="294"/>
      <c r="Y176" s="294"/>
      <c r="Z176" s="294"/>
      <c r="AA176" s="294"/>
      <c r="AB176" s="294"/>
      <c r="AC176" s="294"/>
      <c r="AD176" s="294"/>
      <c r="AE176" s="685"/>
      <c r="AF176" s="685"/>
      <c r="AG176" s="685"/>
    </row>
    <row r="177" spans="1:33" x14ac:dyDescent="0.25">
      <c r="A177" s="673" t="s">
        <v>544</v>
      </c>
      <c r="B177" s="674" t="s">
        <v>533</v>
      </c>
      <c r="C177" s="673"/>
      <c r="D177" s="673"/>
      <c r="E177" s="684"/>
      <c r="F177" s="295"/>
      <c r="G177" s="295"/>
      <c r="H177" s="295"/>
      <c r="I177" s="295"/>
      <c r="J177" s="295"/>
      <c r="K177" s="285"/>
      <c r="L177" s="294"/>
      <c r="M177" s="294"/>
      <c r="N177" s="294"/>
      <c r="O177" s="294"/>
      <c r="P177" s="294"/>
      <c r="Q177" s="294"/>
      <c r="R177" s="294"/>
      <c r="S177" s="294"/>
      <c r="T177" s="294"/>
      <c r="U177" s="294"/>
      <c r="V177" s="294"/>
      <c r="W177" s="294"/>
      <c r="X177" s="294"/>
      <c r="Y177" s="294"/>
      <c r="Z177" s="294"/>
      <c r="AA177" s="294"/>
      <c r="AB177" s="294"/>
      <c r="AC177" s="294"/>
      <c r="AD177" s="294"/>
      <c r="AE177" s="685"/>
      <c r="AF177" s="685"/>
      <c r="AG177" s="685"/>
    </row>
    <row r="178" spans="1:33" x14ac:dyDescent="0.25">
      <c r="A178" s="673" t="s">
        <v>544</v>
      </c>
      <c r="B178" s="674" t="s">
        <v>534</v>
      </c>
      <c r="C178" s="673"/>
      <c r="D178" s="673"/>
      <c r="E178" s="684"/>
      <c r="F178" s="295"/>
      <c r="G178" s="295"/>
      <c r="H178" s="295"/>
      <c r="I178" s="295"/>
      <c r="J178" s="295"/>
      <c r="K178" s="295"/>
      <c r="L178" s="285"/>
      <c r="M178" s="294"/>
      <c r="N178" s="294"/>
      <c r="O178" s="294"/>
      <c r="P178" s="294"/>
      <c r="Q178" s="294"/>
      <c r="R178" s="294"/>
      <c r="S178" s="294"/>
      <c r="T178" s="294"/>
      <c r="U178" s="294"/>
      <c r="V178" s="294"/>
      <c r="W178" s="294"/>
      <c r="X178" s="294"/>
      <c r="Y178" s="294"/>
      <c r="Z178" s="294"/>
      <c r="AA178" s="294"/>
      <c r="AB178" s="294"/>
      <c r="AC178" s="294"/>
      <c r="AD178" s="294"/>
      <c r="AE178" s="685"/>
      <c r="AF178" s="685"/>
      <c r="AG178" s="685"/>
    </row>
    <row r="179" spans="1:33" x14ac:dyDescent="0.25">
      <c r="A179" s="673" t="s">
        <v>544</v>
      </c>
      <c r="B179" s="674" t="s">
        <v>535</v>
      </c>
      <c r="C179" s="673"/>
      <c r="D179" s="673"/>
      <c r="E179" s="684"/>
      <c r="F179" s="295"/>
      <c r="G179" s="295"/>
      <c r="H179" s="295"/>
      <c r="I179" s="295"/>
      <c r="J179" s="295"/>
      <c r="K179" s="295"/>
      <c r="L179" s="295"/>
      <c r="M179" s="285"/>
      <c r="N179" s="294"/>
      <c r="O179" s="294"/>
      <c r="P179" s="294"/>
      <c r="Q179" s="294"/>
      <c r="R179" s="294"/>
      <c r="S179" s="294"/>
      <c r="T179" s="294"/>
      <c r="U179" s="294"/>
      <c r="V179" s="294"/>
      <c r="W179" s="294"/>
      <c r="X179" s="294"/>
      <c r="Y179" s="294"/>
      <c r="Z179" s="294"/>
      <c r="AA179" s="294"/>
      <c r="AB179" s="294"/>
      <c r="AC179" s="294"/>
      <c r="AD179" s="294"/>
      <c r="AE179" s="685"/>
      <c r="AF179" s="685"/>
      <c r="AG179" s="685"/>
    </row>
    <row r="180" spans="1:33" x14ac:dyDescent="0.25">
      <c r="A180" s="673" t="s">
        <v>544</v>
      </c>
      <c r="B180" s="674" t="s">
        <v>536</v>
      </c>
      <c r="C180" s="673"/>
      <c r="D180" s="673"/>
      <c r="E180" s="684"/>
      <c r="F180" s="295"/>
      <c r="G180" s="295"/>
      <c r="H180" s="295"/>
      <c r="I180" s="295"/>
      <c r="J180" s="295"/>
      <c r="K180" s="295"/>
      <c r="L180" s="295"/>
      <c r="M180" s="295"/>
      <c r="N180" s="285"/>
      <c r="O180" s="294"/>
      <c r="P180" s="294"/>
      <c r="Q180" s="294"/>
      <c r="R180" s="294"/>
      <c r="S180" s="294"/>
      <c r="T180" s="294"/>
      <c r="U180" s="294"/>
      <c r="V180" s="294"/>
      <c r="W180" s="294"/>
      <c r="X180" s="294"/>
      <c r="Y180" s="294"/>
      <c r="Z180" s="294"/>
      <c r="AA180" s="294"/>
      <c r="AB180" s="294"/>
      <c r="AC180" s="294"/>
      <c r="AD180" s="294"/>
      <c r="AE180" s="685"/>
      <c r="AF180" s="685"/>
      <c r="AG180" s="685"/>
    </row>
    <row r="181" spans="1:33" x14ac:dyDescent="0.25">
      <c r="A181" s="673" t="s">
        <v>544</v>
      </c>
      <c r="B181" s="674" t="s">
        <v>537</v>
      </c>
      <c r="C181" s="283"/>
      <c r="D181" s="673"/>
      <c r="E181" s="684"/>
      <c r="F181" s="295"/>
      <c r="G181" s="295"/>
      <c r="H181" s="295"/>
      <c r="I181" s="295"/>
      <c r="J181" s="295"/>
      <c r="K181" s="295"/>
      <c r="L181" s="295"/>
      <c r="M181" s="295"/>
      <c r="N181" s="295"/>
      <c r="O181" s="285"/>
      <c r="P181" s="294"/>
      <c r="Q181" s="294"/>
      <c r="R181" s="294"/>
      <c r="S181" s="294"/>
      <c r="T181" s="294"/>
      <c r="U181" s="294"/>
      <c r="V181" s="294"/>
      <c r="W181" s="294"/>
      <c r="X181" s="294"/>
      <c r="Y181" s="294"/>
      <c r="Z181" s="294"/>
      <c r="AA181" s="294"/>
      <c r="AB181" s="294"/>
      <c r="AC181" s="294"/>
      <c r="AD181" s="294"/>
      <c r="AE181" s="685"/>
      <c r="AF181" s="685"/>
      <c r="AG181" s="685"/>
    </row>
    <row r="182" spans="1:33" x14ac:dyDescent="0.25">
      <c r="A182" s="673" t="s">
        <v>544</v>
      </c>
      <c r="B182" s="674" t="s">
        <v>538</v>
      </c>
      <c r="C182" s="283"/>
      <c r="D182" s="673"/>
      <c r="E182" s="684"/>
      <c r="F182" s="295"/>
      <c r="G182" s="295"/>
      <c r="H182" s="295"/>
      <c r="I182" s="295"/>
      <c r="J182" s="295"/>
      <c r="K182" s="295"/>
      <c r="L182" s="295"/>
      <c r="M182" s="295"/>
      <c r="N182" s="295"/>
      <c r="O182" s="295"/>
      <c r="P182" s="285"/>
      <c r="Q182" s="294"/>
      <c r="R182" s="294"/>
      <c r="S182" s="294"/>
      <c r="T182" s="294"/>
      <c r="U182" s="294"/>
      <c r="V182" s="294"/>
      <c r="W182" s="294"/>
      <c r="X182" s="294"/>
      <c r="Y182" s="294"/>
      <c r="Z182" s="294"/>
      <c r="AA182" s="294"/>
      <c r="AB182" s="294"/>
      <c r="AC182" s="294"/>
      <c r="AD182" s="294"/>
      <c r="AE182" s="685"/>
      <c r="AF182" s="685"/>
      <c r="AG182" s="685"/>
    </row>
    <row r="183" spans="1:33" x14ac:dyDescent="0.25">
      <c r="A183" s="673" t="s">
        <v>544</v>
      </c>
      <c r="B183" s="674" t="s">
        <v>539</v>
      </c>
      <c r="C183" s="283"/>
      <c r="D183" s="283"/>
      <c r="E183" s="684"/>
      <c r="F183" s="295"/>
      <c r="G183" s="295"/>
      <c r="H183" s="295"/>
      <c r="I183" s="295"/>
      <c r="J183" s="295"/>
      <c r="K183" s="295"/>
      <c r="L183" s="295"/>
      <c r="M183" s="295"/>
      <c r="N183" s="295"/>
      <c r="O183" s="295"/>
      <c r="P183" s="295"/>
      <c r="Q183" s="285"/>
      <c r="R183" s="294"/>
      <c r="S183" s="294"/>
      <c r="T183" s="294"/>
      <c r="U183" s="294"/>
      <c r="V183" s="294"/>
      <c r="W183" s="294"/>
      <c r="X183" s="294"/>
      <c r="Y183" s="294"/>
      <c r="Z183" s="294"/>
      <c r="AA183" s="294"/>
      <c r="AB183" s="294"/>
      <c r="AC183" s="294"/>
      <c r="AD183" s="294"/>
      <c r="AE183" s="685"/>
      <c r="AF183" s="685"/>
      <c r="AG183" s="685"/>
    </row>
    <row r="184" spans="1:33" x14ac:dyDescent="0.25">
      <c r="A184" s="673" t="s">
        <v>544</v>
      </c>
      <c r="B184" s="674" t="s">
        <v>540</v>
      </c>
      <c r="C184" s="283"/>
      <c r="D184" s="283"/>
      <c r="E184" s="684"/>
      <c r="F184" s="295"/>
      <c r="G184" s="295"/>
      <c r="H184" s="295"/>
      <c r="I184" s="295"/>
      <c r="J184" s="295"/>
      <c r="K184" s="295"/>
      <c r="L184" s="295"/>
      <c r="M184" s="295"/>
      <c r="N184" s="295"/>
      <c r="O184" s="295"/>
      <c r="P184" s="295"/>
      <c r="Q184" s="295"/>
      <c r="R184" s="285"/>
      <c r="S184" s="294"/>
      <c r="T184" s="294"/>
      <c r="U184" s="294"/>
      <c r="V184" s="294"/>
      <c r="W184" s="294"/>
      <c r="X184" s="294"/>
      <c r="Y184" s="294"/>
      <c r="Z184" s="294"/>
      <c r="AA184" s="294"/>
      <c r="AB184" s="294"/>
      <c r="AC184" s="294"/>
      <c r="AD184" s="294"/>
      <c r="AE184" s="685"/>
      <c r="AF184" s="685"/>
      <c r="AG184" s="685"/>
    </row>
    <row r="185" spans="1:33" x14ac:dyDescent="0.25">
      <c r="A185" s="673" t="s">
        <v>544</v>
      </c>
      <c r="B185" s="674" t="s">
        <v>541</v>
      </c>
      <c r="C185" s="283"/>
      <c r="D185" s="283"/>
      <c r="E185" s="684"/>
      <c r="F185" s="295"/>
      <c r="G185" s="295"/>
      <c r="H185" s="295"/>
      <c r="I185" s="295"/>
      <c r="J185" s="295"/>
      <c r="K185" s="295"/>
      <c r="L185" s="295"/>
      <c r="M185" s="295"/>
      <c r="N185" s="295"/>
      <c r="O185" s="295"/>
      <c r="P185" s="295"/>
      <c r="Q185" s="295"/>
      <c r="R185" s="295"/>
      <c r="S185" s="285"/>
      <c r="T185" s="294"/>
      <c r="U185" s="294"/>
      <c r="V185" s="294"/>
      <c r="W185" s="294"/>
      <c r="X185" s="294"/>
      <c r="Y185" s="294"/>
      <c r="Z185" s="294"/>
      <c r="AA185" s="294"/>
      <c r="AB185" s="294"/>
      <c r="AC185" s="294"/>
      <c r="AD185" s="294"/>
      <c r="AE185" s="685"/>
      <c r="AF185" s="685"/>
      <c r="AG185" s="685"/>
    </row>
    <row r="186" spans="1:33" x14ac:dyDescent="0.25">
      <c r="A186" s="673" t="s">
        <v>544</v>
      </c>
      <c r="B186" s="674" t="s">
        <v>545</v>
      </c>
      <c r="C186" s="686"/>
      <c r="D186" s="283"/>
      <c r="E186" s="684"/>
      <c r="F186" s="295"/>
      <c r="G186" s="295"/>
      <c r="H186" s="295"/>
      <c r="I186" s="295"/>
      <c r="J186" s="295"/>
      <c r="K186" s="295"/>
      <c r="L186" s="295"/>
      <c r="M186" s="295"/>
      <c r="N186" s="295"/>
      <c r="O186" s="295"/>
      <c r="P186" s="295"/>
      <c r="Q186" s="295"/>
      <c r="R186" s="295"/>
      <c r="S186" s="295"/>
      <c r="T186" s="285"/>
      <c r="U186" s="294"/>
      <c r="V186" s="294"/>
      <c r="W186" s="294"/>
      <c r="X186" s="294"/>
      <c r="Y186" s="294"/>
      <c r="Z186" s="294"/>
      <c r="AA186" s="294"/>
      <c r="AB186" s="294"/>
      <c r="AC186" s="294"/>
      <c r="AD186" s="294"/>
      <c r="AE186" s="685"/>
      <c r="AF186" s="685"/>
      <c r="AG186" s="685"/>
    </row>
    <row r="187" spans="1:33" x14ac:dyDescent="0.25">
      <c r="A187" s="673" t="s">
        <v>544</v>
      </c>
      <c r="B187" s="674" t="s">
        <v>546</v>
      </c>
      <c r="C187" s="283"/>
      <c r="D187" s="283"/>
      <c r="E187" s="684"/>
      <c r="F187" s="295"/>
      <c r="G187" s="295"/>
      <c r="H187" s="295"/>
      <c r="I187" s="295"/>
      <c r="J187" s="295"/>
      <c r="K187" s="295"/>
      <c r="L187" s="295"/>
      <c r="M187" s="295"/>
      <c r="N187" s="295"/>
      <c r="O187" s="295"/>
      <c r="P187" s="295"/>
      <c r="Q187" s="295"/>
      <c r="R187" s="295"/>
      <c r="S187" s="295"/>
      <c r="T187" s="295"/>
      <c r="U187" s="285"/>
      <c r="V187" s="294"/>
      <c r="W187" s="294"/>
      <c r="X187" s="294"/>
      <c r="Y187" s="294"/>
      <c r="Z187" s="294"/>
      <c r="AA187" s="294"/>
      <c r="AB187" s="294"/>
      <c r="AC187" s="294"/>
      <c r="AD187" s="294"/>
      <c r="AE187" s="685"/>
      <c r="AF187" s="685"/>
      <c r="AG187" s="685"/>
    </row>
    <row r="188" spans="1:33" x14ac:dyDescent="0.25">
      <c r="A188" s="673" t="s">
        <v>544</v>
      </c>
      <c r="B188" s="674" t="s">
        <v>547</v>
      </c>
      <c r="C188" s="283"/>
      <c r="D188" s="283"/>
      <c r="E188" s="684"/>
      <c r="F188" s="295"/>
      <c r="G188" s="295"/>
      <c r="H188" s="295"/>
      <c r="I188" s="295"/>
      <c r="J188" s="295"/>
      <c r="K188" s="295"/>
      <c r="L188" s="295"/>
      <c r="M188" s="295"/>
      <c r="N188" s="295"/>
      <c r="O188" s="295"/>
      <c r="P188" s="295"/>
      <c r="Q188" s="295"/>
      <c r="R188" s="295"/>
      <c r="S188" s="295"/>
      <c r="T188" s="295"/>
      <c r="U188" s="295"/>
      <c r="V188" s="285"/>
      <c r="W188" s="294"/>
      <c r="X188" s="294"/>
      <c r="Y188" s="294"/>
      <c r="Z188" s="294"/>
      <c r="AA188" s="294"/>
      <c r="AB188" s="294"/>
      <c r="AC188" s="294"/>
      <c r="AD188" s="294"/>
      <c r="AE188" s="685"/>
      <c r="AF188" s="685"/>
      <c r="AG188" s="685"/>
    </row>
    <row r="189" spans="1:33" x14ac:dyDescent="0.25">
      <c r="A189" s="673" t="s">
        <v>544</v>
      </c>
      <c r="B189" s="674" t="s">
        <v>557</v>
      </c>
      <c r="C189" s="283"/>
      <c r="D189" s="283"/>
      <c r="E189" s="684"/>
      <c r="F189" s="295"/>
      <c r="G189" s="295"/>
      <c r="H189" s="295"/>
      <c r="I189" s="295"/>
      <c r="J189" s="295"/>
      <c r="K189" s="295"/>
      <c r="L189" s="295"/>
      <c r="M189" s="295"/>
      <c r="N189" s="295"/>
      <c r="O189" s="295"/>
      <c r="P189" s="295"/>
      <c r="Q189" s="295"/>
      <c r="R189" s="295"/>
      <c r="S189" s="295"/>
      <c r="T189" s="295"/>
      <c r="U189" s="295"/>
      <c r="V189" s="295"/>
      <c r="W189" s="285"/>
      <c r="X189" s="294"/>
      <c r="Y189" s="294"/>
      <c r="Z189" s="294"/>
      <c r="AA189" s="294"/>
      <c r="AB189" s="294"/>
      <c r="AC189" s="294"/>
      <c r="AD189" s="294"/>
      <c r="AE189" s="685"/>
      <c r="AF189" s="685"/>
      <c r="AG189" s="685"/>
    </row>
    <row r="190" spans="1:33" x14ac:dyDescent="0.25">
      <c r="A190" s="673" t="s">
        <v>544</v>
      </c>
      <c r="B190" s="674" t="s">
        <v>558</v>
      </c>
      <c r="C190" s="283"/>
      <c r="D190" s="283"/>
      <c r="E190" s="684"/>
      <c r="F190" s="295"/>
      <c r="G190" s="295"/>
      <c r="H190" s="295"/>
      <c r="I190" s="295"/>
      <c r="J190" s="295"/>
      <c r="K190" s="295"/>
      <c r="L190" s="295"/>
      <c r="M190" s="295"/>
      <c r="N190" s="295"/>
      <c r="O190" s="295"/>
      <c r="P190" s="295"/>
      <c r="Q190" s="295"/>
      <c r="R190" s="295"/>
      <c r="S190" s="295"/>
      <c r="T190" s="295"/>
      <c r="U190" s="295"/>
      <c r="V190" s="295"/>
      <c r="W190" s="295"/>
      <c r="X190" s="285"/>
      <c r="Y190" s="294"/>
      <c r="Z190" s="294"/>
      <c r="AA190" s="294"/>
      <c r="AB190" s="294"/>
      <c r="AC190" s="294"/>
      <c r="AD190" s="294"/>
      <c r="AE190" s="685"/>
      <c r="AF190" s="685"/>
      <c r="AG190" s="685"/>
    </row>
    <row r="191" spans="1:33" x14ac:dyDescent="0.25">
      <c r="A191" s="673" t="s">
        <v>544</v>
      </c>
      <c r="B191" s="674" t="s">
        <v>559</v>
      </c>
      <c r="C191" s="283"/>
      <c r="D191" s="283"/>
      <c r="E191" s="684"/>
      <c r="F191" s="295"/>
      <c r="G191" s="295"/>
      <c r="H191" s="295"/>
      <c r="I191" s="295"/>
      <c r="J191" s="295"/>
      <c r="K191" s="295"/>
      <c r="L191" s="295"/>
      <c r="M191" s="295"/>
      <c r="N191" s="295"/>
      <c r="O191" s="295"/>
      <c r="P191" s="295"/>
      <c r="Q191" s="295"/>
      <c r="R191" s="295"/>
      <c r="S191" s="295"/>
      <c r="T191" s="295"/>
      <c r="U191" s="295"/>
      <c r="V191" s="295"/>
      <c r="W191" s="295"/>
      <c r="X191" s="295"/>
      <c r="Y191" s="285"/>
      <c r="Z191" s="294"/>
      <c r="AA191" s="294"/>
      <c r="AB191" s="294"/>
      <c r="AC191" s="294"/>
      <c r="AD191" s="294"/>
      <c r="AE191" s="685"/>
      <c r="AF191" s="685"/>
      <c r="AG191" s="685"/>
    </row>
    <row r="192" spans="1:33" x14ac:dyDescent="0.25">
      <c r="A192" s="673" t="s">
        <v>544</v>
      </c>
      <c r="B192" s="674" t="s">
        <v>1003</v>
      </c>
      <c r="C192" s="283"/>
      <c r="D192" s="283"/>
      <c r="E192" s="687"/>
      <c r="F192" s="295"/>
      <c r="G192" s="295"/>
      <c r="H192" s="295"/>
      <c r="I192" s="295"/>
      <c r="J192" s="295"/>
      <c r="K192" s="295"/>
      <c r="L192" s="295"/>
      <c r="M192" s="295"/>
      <c r="N192" s="295"/>
      <c r="O192" s="295"/>
      <c r="P192" s="295"/>
      <c r="Q192" s="295"/>
      <c r="R192" s="295"/>
      <c r="S192" s="295"/>
      <c r="T192" s="295"/>
      <c r="U192" s="295"/>
      <c r="V192" s="295"/>
      <c r="W192" s="295"/>
      <c r="X192" s="295"/>
      <c r="Y192" s="295"/>
      <c r="Z192" s="285"/>
      <c r="AA192" s="294"/>
      <c r="AB192" s="294"/>
      <c r="AC192" s="294"/>
      <c r="AD192" s="294"/>
      <c r="AE192" s="283"/>
      <c r="AF192" s="283"/>
      <c r="AG192" s="685"/>
    </row>
    <row r="193" spans="1:33" x14ac:dyDescent="0.25">
      <c r="A193" s="673" t="s">
        <v>544</v>
      </c>
      <c r="B193" s="674" t="s">
        <v>1004</v>
      </c>
      <c r="C193" s="283"/>
      <c r="D193" s="283"/>
      <c r="E193" s="687"/>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85"/>
      <c r="AB193" s="294"/>
      <c r="AC193" s="294"/>
      <c r="AD193" s="294"/>
      <c r="AE193" s="283"/>
      <c r="AF193" s="283"/>
      <c r="AG193" s="685"/>
    </row>
    <row r="194" spans="1:33" x14ac:dyDescent="0.25">
      <c r="A194" s="673" t="s">
        <v>544</v>
      </c>
      <c r="B194" s="674" t="s">
        <v>1005</v>
      </c>
      <c r="C194" s="283"/>
      <c r="D194" s="283"/>
      <c r="E194" s="687"/>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85"/>
      <c r="AC194" s="294"/>
      <c r="AD194" s="294"/>
      <c r="AE194" s="283"/>
      <c r="AF194" s="283"/>
      <c r="AG194" s="685"/>
    </row>
    <row r="195" spans="1:33" x14ac:dyDescent="0.25">
      <c r="A195" s="673" t="s">
        <v>544</v>
      </c>
      <c r="B195" s="674" t="s">
        <v>1006</v>
      </c>
      <c r="C195" s="283"/>
      <c r="D195" s="283"/>
      <c r="E195" s="687"/>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85"/>
      <c r="AD195" s="294"/>
      <c r="AE195" s="283"/>
      <c r="AF195" s="283"/>
      <c r="AG195" s="685"/>
    </row>
    <row r="196" spans="1:33" x14ac:dyDescent="0.25">
      <c r="A196" s="673" t="s">
        <v>544</v>
      </c>
      <c r="B196" s="674" t="s">
        <v>1007</v>
      </c>
      <c r="C196" s="283"/>
      <c r="D196" s="283"/>
      <c r="E196" s="687"/>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85"/>
      <c r="AE196" s="283"/>
      <c r="AF196" s="283"/>
      <c r="AG196" s="685"/>
    </row>
    <row r="197" spans="1:33" ht="13" x14ac:dyDescent="0.3">
      <c r="A197" s="677" t="s">
        <v>374</v>
      </c>
      <c r="B197" s="678" t="s">
        <v>271</v>
      </c>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row>
    <row r="198" spans="1:33" x14ac:dyDescent="0.25">
      <c r="C198" s="689"/>
    </row>
    <row r="199" spans="1:33" x14ac:dyDescent="0.25">
      <c r="C199" s="679"/>
    </row>
    <row r="201" spans="1:33" ht="13" x14ac:dyDescent="0.3">
      <c r="B201" s="668" t="s">
        <v>555</v>
      </c>
      <c r="F201" s="669" t="s">
        <v>10</v>
      </c>
    </row>
    <row r="202" spans="1:33" ht="26.15" customHeight="1" x14ac:dyDescent="0.35">
      <c r="A202" s="670"/>
      <c r="B202" s="683" t="s">
        <v>418</v>
      </c>
      <c r="C202" s="1780" t="s">
        <v>526</v>
      </c>
      <c r="D202" s="1780" t="s">
        <v>527</v>
      </c>
      <c r="E202" s="1780" t="s">
        <v>598</v>
      </c>
      <c r="F202" s="1782" t="s">
        <v>599</v>
      </c>
      <c r="G202" s="1783"/>
      <c r="H202" s="1783"/>
      <c r="I202" s="1783"/>
      <c r="J202" s="1783"/>
      <c r="K202" s="1783"/>
      <c r="L202" s="1783"/>
      <c r="M202" s="1783"/>
      <c r="N202" s="1783"/>
      <c r="O202" s="1783"/>
      <c r="P202" s="1783"/>
      <c r="Q202" s="1783"/>
      <c r="R202" s="1783"/>
      <c r="S202" s="1783"/>
      <c r="T202" s="1783"/>
      <c r="U202" s="1783"/>
      <c r="V202" s="1783"/>
      <c r="W202" s="1783"/>
      <c r="X202" s="1783"/>
      <c r="Y202" s="1783"/>
      <c r="Z202" s="1783"/>
      <c r="AA202" s="1783"/>
      <c r="AB202" s="1783"/>
      <c r="AC202" s="1783"/>
      <c r="AD202" s="1784"/>
      <c r="AE202" s="671" t="s">
        <v>549</v>
      </c>
      <c r="AF202" s="671" t="s">
        <v>542</v>
      </c>
      <c r="AG202" s="671" t="s">
        <v>550</v>
      </c>
    </row>
    <row r="203" spans="1:33" ht="12.9" customHeight="1" x14ac:dyDescent="0.25">
      <c r="A203" s="670"/>
      <c r="B203" s="683"/>
      <c r="C203" s="1781"/>
      <c r="D203" s="1781"/>
      <c r="E203" s="1781"/>
      <c r="F203" s="672" t="s">
        <v>528</v>
      </c>
      <c r="G203" s="672" t="s">
        <v>529</v>
      </c>
      <c r="H203" s="672" t="s">
        <v>530</v>
      </c>
      <c r="I203" s="672" t="s">
        <v>531</v>
      </c>
      <c r="J203" s="672" t="s">
        <v>532</v>
      </c>
      <c r="K203" s="672" t="s">
        <v>533</v>
      </c>
      <c r="L203" s="672" t="s">
        <v>534</v>
      </c>
      <c r="M203" s="672" t="s">
        <v>535</v>
      </c>
      <c r="N203" s="672" t="s">
        <v>536</v>
      </c>
      <c r="O203" s="672" t="s">
        <v>537</v>
      </c>
      <c r="P203" s="672" t="s">
        <v>538</v>
      </c>
      <c r="Q203" s="672" t="s">
        <v>539</v>
      </c>
      <c r="R203" s="672" t="s">
        <v>540</v>
      </c>
      <c r="S203" s="672" t="s">
        <v>541</v>
      </c>
      <c r="T203" s="672" t="s">
        <v>326</v>
      </c>
      <c r="U203" s="672" t="s">
        <v>517</v>
      </c>
      <c r="V203" s="672" t="s">
        <v>518</v>
      </c>
      <c r="W203" s="672" t="s">
        <v>519</v>
      </c>
      <c r="X203" s="672" t="s">
        <v>520</v>
      </c>
      <c r="Y203" s="672" t="s">
        <v>521</v>
      </c>
      <c r="Z203" s="672" t="s">
        <v>940</v>
      </c>
      <c r="AA203" s="672" t="s">
        <v>941</v>
      </c>
      <c r="AB203" s="672" t="s">
        <v>945</v>
      </c>
      <c r="AC203" s="672" t="s">
        <v>942</v>
      </c>
      <c r="AD203" s="672" t="s">
        <v>944</v>
      </c>
      <c r="AE203" s="671"/>
      <c r="AF203" s="671"/>
      <c r="AG203" s="671"/>
    </row>
    <row r="204" spans="1:33" x14ac:dyDescent="0.25">
      <c r="A204" s="673" t="s">
        <v>543</v>
      </c>
      <c r="B204" s="674">
        <v>2005</v>
      </c>
      <c r="C204" s="673"/>
      <c r="D204" s="673"/>
      <c r="E204" s="68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685"/>
      <c r="AF204" s="685"/>
      <c r="AG204" s="685"/>
    </row>
    <row r="205" spans="1:33" x14ac:dyDescent="0.25">
      <c r="A205" s="673" t="s">
        <v>544</v>
      </c>
      <c r="B205" s="674" t="s">
        <v>528</v>
      </c>
      <c r="C205" s="673"/>
      <c r="D205" s="673"/>
      <c r="E205" s="684"/>
      <c r="F205" s="285"/>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685"/>
      <c r="AF205" s="685"/>
      <c r="AG205" s="685"/>
    </row>
    <row r="206" spans="1:33" x14ac:dyDescent="0.25">
      <c r="A206" s="673" t="s">
        <v>544</v>
      </c>
      <c r="B206" s="674" t="s">
        <v>529</v>
      </c>
      <c r="C206" s="673"/>
      <c r="D206" s="673"/>
      <c r="E206" s="684"/>
      <c r="F206" s="295"/>
      <c r="G206" s="285"/>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685"/>
      <c r="AF206" s="685"/>
      <c r="AG206" s="685"/>
    </row>
    <row r="207" spans="1:33" x14ac:dyDescent="0.25">
      <c r="A207" s="673" t="s">
        <v>544</v>
      </c>
      <c r="B207" s="674" t="s">
        <v>530</v>
      </c>
      <c r="C207" s="673"/>
      <c r="D207" s="673"/>
      <c r="E207" s="684"/>
      <c r="F207" s="295"/>
      <c r="G207" s="295"/>
      <c r="H207" s="285"/>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685"/>
      <c r="AF207" s="685"/>
      <c r="AG207" s="685"/>
    </row>
    <row r="208" spans="1:33" x14ac:dyDescent="0.25">
      <c r="A208" s="673" t="s">
        <v>544</v>
      </c>
      <c r="B208" s="674" t="s">
        <v>531</v>
      </c>
      <c r="C208" s="673"/>
      <c r="D208" s="673"/>
      <c r="E208" s="684"/>
      <c r="F208" s="295"/>
      <c r="G208" s="295"/>
      <c r="H208" s="295"/>
      <c r="I208" s="285"/>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685"/>
      <c r="AF208" s="685"/>
      <c r="AG208" s="685"/>
    </row>
    <row r="209" spans="1:33" x14ac:dyDescent="0.25">
      <c r="A209" s="673" t="s">
        <v>544</v>
      </c>
      <c r="B209" s="674" t="s">
        <v>532</v>
      </c>
      <c r="C209" s="673"/>
      <c r="D209" s="673"/>
      <c r="E209" s="684"/>
      <c r="F209" s="295"/>
      <c r="G209" s="295"/>
      <c r="H209" s="295"/>
      <c r="I209" s="295"/>
      <c r="J209" s="285"/>
      <c r="K209" s="294"/>
      <c r="L209" s="294"/>
      <c r="M209" s="294"/>
      <c r="N209" s="294"/>
      <c r="O209" s="294"/>
      <c r="P209" s="294"/>
      <c r="Q209" s="294"/>
      <c r="R209" s="294"/>
      <c r="S209" s="294"/>
      <c r="T209" s="294"/>
      <c r="U209" s="294"/>
      <c r="V209" s="294"/>
      <c r="W209" s="294"/>
      <c r="X209" s="294"/>
      <c r="Y209" s="294"/>
      <c r="Z209" s="294"/>
      <c r="AA209" s="294"/>
      <c r="AB209" s="294"/>
      <c r="AC209" s="294"/>
      <c r="AD209" s="294"/>
      <c r="AE209" s="685"/>
      <c r="AF209" s="685"/>
      <c r="AG209" s="685"/>
    </row>
    <row r="210" spans="1:33" x14ac:dyDescent="0.25">
      <c r="A210" s="673" t="s">
        <v>544</v>
      </c>
      <c r="B210" s="674" t="s">
        <v>533</v>
      </c>
      <c r="C210" s="673"/>
      <c r="D210" s="673"/>
      <c r="E210" s="684"/>
      <c r="F210" s="295"/>
      <c r="G210" s="295"/>
      <c r="H210" s="295"/>
      <c r="I210" s="295"/>
      <c r="J210" s="295"/>
      <c r="K210" s="285"/>
      <c r="L210" s="294"/>
      <c r="M210" s="294"/>
      <c r="N210" s="294"/>
      <c r="O210" s="294"/>
      <c r="P210" s="294"/>
      <c r="Q210" s="294"/>
      <c r="R210" s="294"/>
      <c r="S210" s="294"/>
      <c r="T210" s="294"/>
      <c r="U210" s="294"/>
      <c r="V210" s="294"/>
      <c r="W210" s="294"/>
      <c r="X210" s="294"/>
      <c r="Y210" s="294"/>
      <c r="Z210" s="294"/>
      <c r="AA210" s="294"/>
      <c r="AB210" s="294"/>
      <c r="AC210" s="294"/>
      <c r="AD210" s="294"/>
      <c r="AE210" s="685"/>
      <c r="AF210" s="685"/>
      <c r="AG210" s="685"/>
    </row>
    <row r="211" spans="1:33" x14ac:dyDescent="0.25">
      <c r="A211" s="673" t="s">
        <v>544</v>
      </c>
      <c r="B211" s="674" t="s">
        <v>534</v>
      </c>
      <c r="C211" s="673"/>
      <c r="D211" s="673"/>
      <c r="E211" s="684"/>
      <c r="F211" s="295"/>
      <c r="G211" s="295"/>
      <c r="H211" s="295"/>
      <c r="I211" s="295"/>
      <c r="J211" s="295"/>
      <c r="K211" s="295"/>
      <c r="L211" s="285"/>
      <c r="M211" s="294"/>
      <c r="N211" s="294"/>
      <c r="O211" s="294"/>
      <c r="P211" s="294"/>
      <c r="Q211" s="294"/>
      <c r="R211" s="294"/>
      <c r="S211" s="294"/>
      <c r="T211" s="294"/>
      <c r="U211" s="294"/>
      <c r="V211" s="294"/>
      <c r="W211" s="294"/>
      <c r="X211" s="294"/>
      <c r="Y211" s="294"/>
      <c r="Z211" s="294"/>
      <c r="AA211" s="294"/>
      <c r="AB211" s="294"/>
      <c r="AC211" s="294"/>
      <c r="AD211" s="294"/>
      <c r="AE211" s="685"/>
      <c r="AF211" s="685"/>
      <c r="AG211" s="685"/>
    </row>
    <row r="212" spans="1:33" x14ac:dyDescent="0.25">
      <c r="A212" s="673" t="s">
        <v>544</v>
      </c>
      <c r="B212" s="674" t="s">
        <v>535</v>
      </c>
      <c r="C212" s="673"/>
      <c r="D212" s="673"/>
      <c r="E212" s="684"/>
      <c r="F212" s="295"/>
      <c r="G212" s="295"/>
      <c r="H212" s="295"/>
      <c r="I212" s="295"/>
      <c r="J212" s="295"/>
      <c r="K212" s="295"/>
      <c r="L212" s="295"/>
      <c r="M212" s="285"/>
      <c r="N212" s="294"/>
      <c r="O212" s="294"/>
      <c r="P212" s="294"/>
      <c r="Q212" s="294"/>
      <c r="R212" s="294"/>
      <c r="S212" s="294"/>
      <c r="T212" s="294"/>
      <c r="U212" s="294"/>
      <c r="V212" s="294"/>
      <c r="W212" s="294"/>
      <c r="X212" s="294"/>
      <c r="Y212" s="294"/>
      <c r="Z212" s="294"/>
      <c r="AA212" s="294"/>
      <c r="AB212" s="294"/>
      <c r="AC212" s="294"/>
      <c r="AD212" s="294"/>
      <c r="AE212" s="685"/>
      <c r="AF212" s="685"/>
      <c r="AG212" s="685"/>
    </row>
    <row r="213" spans="1:33" x14ac:dyDescent="0.25">
      <c r="A213" s="673" t="s">
        <v>544</v>
      </c>
      <c r="B213" s="674" t="s">
        <v>536</v>
      </c>
      <c r="C213" s="673"/>
      <c r="D213" s="673"/>
      <c r="E213" s="684"/>
      <c r="F213" s="295"/>
      <c r="G213" s="295"/>
      <c r="H213" s="295"/>
      <c r="I213" s="295"/>
      <c r="J213" s="295"/>
      <c r="K213" s="295"/>
      <c r="L213" s="295"/>
      <c r="M213" s="295"/>
      <c r="N213" s="285"/>
      <c r="O213" s="294"/>
      <c r="P213" s="294"/>
      <c r="Q213" s="294"/>
      <c r="R213" s="294"/>
      <c r="S213" s="294"/>
      <c r="T213" s="294"/>
      <c r="U213" s="294"/>
      <c r="V213" s="294"/>
      <c r="W213" s="294"/>
      <c r="X213" s="294"/>
      <c r="Y213" s="294"/>
      <c r="Z213" s="294"/>
      <c r="AA213" s="294"/>
      <c r="AB213" s="294"/>
      <c r="AC213" s="294"/>
      <c r="AD213" s="294"/>
      <c r="AE213" s="685"/>
      <c r="AF213" s="685"/>
      <c r="AG213" s="685"/>
    </row>
    <row r="214" spans="1:33" x14ac:dyDescent="0.25">
      <c r="A214" s="673" t="s">
        <v>544</v>
      </c>
      <c r="B214" s="674" t="s">
        <v>537</v>
      </c>
      <c r="C214" s="283"/>
      <c r="D214" s="673"/>
      <c r="E214" s="684"/>
      <c r="F214" s="295"/>
      <c r="G214" s="295"/>
      <c r="H214" s="295"/>
      <c r="I214" s="295"/>
      <c r="J214" s="295"/>
      <c r="K214" s="295"/>
      <c r="L214" s="295"/>
      <c r="M214" s="295"/>
      <c r="N214" s="295"/>
      <c r="O214" s="285"/>
      <c r="P214" s="294"/>
      <c r="Q214" s="294"/>
      <c r="R214" s="294"/>
      <c r="S214" s="294"/>
      <c r="T214" s="294"/>
      <c r="U214" s="294"/>
      <c r="V214" s="294"/>
      <c r="W214" s="294"/>
      <c r="X214" s="294"/>
      <c r="Y214" s="294"/>
      <c r="Z214" s="294"/>
      <c r="AA214" s="294"/>
      <c r="AB214" s="294"/>
      <c r="AC214" s="294"/>
      <c r="AD214" s="294"/>
      <c r="AE214" s="685"/>
      <c r="AF214" s="685"/>
      <c r="AG214" s="685"/>
    </row>
    <row r="215" spans="1:33" x14ac:dyDescent="0.25">
      <c r="A215" s="673" t="s">
        <v>544</v>
      </c>
      <c r="B215" s="674" t="s">
        <v>538</v>
      </c>
      <c r="C215" s="283"/>
      <c r="D215" s="673"/>
      <c r="E215" s="684"/>
      <c r="F215" s="295"/>
      <c r="G215" s="295"/>
      <c r="H215" s="295"/>
      <c r="I215" s="295"/>
      <c r="J215" s="295"/>
      <c r="K215" s="295"/>
      <c r="L215" s="295"/>
      <c r="M215" s="295"/>
      <c r="N215" s="295"/>
      <c r="O215" s="295"/>
      <c r="P215" s="285"/>
      <c r="Q215" s="294"/>
      <c r="R215" s="294"/>
      <c r="S215" s="294"/>
      <c r="T215" s="294"/>
      <c r="U215" s="294"/>
      <c r="V215" s="294"/>
      <c r="W215" s="294"/>
      <c r="X215" s="294"/>
      <c r="Y215" s="294"/>
      <c r="Z215" s="294"/>
      <c r="AA215" s="294"/>
      <c r="AB215" s="294"/>
      <c r="AC215" s="294"/>
      <c r="AD215" s="294"/>
      <c r="AE215" s="685"/>
      <c r="AF215" s="685"/>
      <c r="AG215" s="685"/>
    </row>
    <row r="216" spans="1:33" x14ac:dyDescent="0.25">
      <c r="A216" s="673" t="s">
        <v>544</v>
      </c>
      <c r="B216" s="674" t="s">
        <v>539</v>
      </c>
      <c r="C216" s="283"/>
      <c r="D216" s="283"/>
      <c r="E216" s="684"/>
      <c r="F216" s="295"/>
      <c r="G216" s="295"/>
      <c r="H216" s="295"/>
      <c r="I216" s="295"/>
      <c r="J216" s="295"/>
      <c r="K216" s="295"/>
      <c r="L216" s="295"/>
      <c r="M216" s="295"/>
      <c r="N216" s="295"/>
      <c r="O216" s="295"/>
      <c r="P216" s="295"/>
      <c r="Q216" s="285"/>
      <c r="R216" s="294"/>
      <c r="S216" s="294"/>
      <c r="T216" s="294"/>
      <c r="U216" s="294"/>
      <c r="V216" s="294"/>
      <c r="W216" s="294"/>
      <c r="X216" s="294"/>
      <c r="Y216" s="294"/>
      <c r="Z216" s="294"/>
      <c r="AA216" s="294"/>
      <c r="AB216" s="294"/>
      <c r="AC216" s="294"/>
      <c r="AD216" s="294"/>
      <c r="AE216" s="685"/>
      <c r="AF216" s="685"/>
      <c r="AG216" s="685"/>
    </row>
    <row r="217" spans="1:33" x14ac:dyDescent="0.25">
      <c r="A217" s="673" t="s">
        <v>544</v>
      </c>
      <c r="B217" s="674" t="s">
        <v>540</v>
      </c>
      <c r="C217" s="283"/>
      <c r="D217" s="283"/>
      <c r="E217" s="684"/>
      <c r="F217" s="295"/>
      <c r="G217" s="295"/>
      <c r="H217" s="295"/>
      <c r="I217" s="295"/>
      <c r="J217" s="295"/>
      <c r="K217" s="295"/>
      <c r="L217" s="295"/>
      <c r="M217" s="295"/>
      <c r="N217" s="295"/>
      <c r="O217" s="295"/>
      <c r="P217" s="295"/>
      <c r="Q217" s="295"/>
      <c r="R217" s="285"/>
      <c r="S217" s="294"/>
      <c r="T217" s="294"/>
      <c r="U217" s="294"/>
      <c r="V217" s="294"/>
      <c r="W217" s="294"/>
      <c r="X217" s="294"/>
      <c r="Y217" s="294"/>
      <c r="Z217" s="294"/>
      <c r="AA217" s="294"/>
      <c r="AB217" s="294"/>
      <c r="AC217" s="294"/>
      <c r="AD217" s="294"/>
      <c r="AE217" s="685"/>
      <c r="AF217" s="685"/>
      <c r="AG217" s="685"/>
    </row>
    <row r="218" spans="1:33" x14ac:dyDescent="0.25">
      <c r="A218" s="673" t="s">
        <v>544</v>
      </c>
      <c r="B218" s="674" t="s">
        <v>541</v>
      </c>
      <c r="C218" s="283"/>
      <c r="D218" s="283"/>
      <c r="E218" s="684"/>
      <c r="F218" s="295"/>
      <c r="G218" s="295"/>
      <c r="H218" s="295"/>
      <c r="I218" s="295"/>
      <c r="J218" s="295"/>
      <c r="K218" s="295"/>
      <c r="L218" s="295"/>
      <c r="M218" s="295"/>
      <c r="N218" s="295"/>
      <c r="O218" s="295"/>
      <c r="P218" s="295"/>
      <c r="Q218" s="295"/>
      <c r="R218" s="295"/>
      <c r="S218" s="285"/>
      <c r="T218" s="294"/>
      <c r="U218" s="294"/>
      <c r="V218" s="294"/>
      <c r="W218" s="294"/>
      <c r="X218" s="294"/>
      <c r="Y218" s="294"/>
      <c r="Z218" s="294"/>
      <c r="AA218" s="294"/>
      <c r="AB218" s="294"/>
      <c r="AC218" s="294"/>
      <c r="AD218" s="294"/>
      <c r="AE218" s="685"/>
      <c r="AF218" s="685"/>
      <c r="AG218" s="685"/>
    </row>
    <row r="219" spans="1:33" x14ac:dyDescent="0.25">
      <c r="A219" s="673" t="s">
        <v>544</v>
      </c>
      <c r="B219" s="674" t="s">
        <v>545</v>
      </c>
      <c r="C219" s="283"/>
      <c r="D219" s="283"/>
      <c r="E219" s="687"/>
      <c r="F219" s="295"/>
      <c r="G219" s="295"/>
      <c r="H219" s="295"/>
      <c r="I219" s="295"/>
      <c r="J219" s="295"/>
      <c r="K219" s="295"/>
      <c r="L219" s="295"/>
      <c r="M219" s="295"/>
      <c r="N219" s="295"/>
      <c r="O219" s="295"/>
      <c r="P219" s="295"/>
      <c r="Q219" s="295"/>
      <c r="R219" s="295"/>
      <c r="S219" s="295"/>
      <c r="T219" s="285"/>
      <c r="U219" s="294"/>
      <c r="V219" s="294"/>
      <c r="W219" s="294"/>
      <c r="X219" s="294"/>
      <c r="Y219" s="294"/>
      <c r="Z219" s="294"/>
      <c r="AA219" s="294"/>
      <c r="AB219" s="294"/>
      <c r="AC219" s="294"/>
      <c r="AD219" s="294"/>
      <c r="AE219" s="685"/>
      <c r="AF219" s="685"/>
      <c r="AG219" s="685"/>
    </row>
    <row r="220" spans="1:33" x14ac:dyDescent="0.25">
      <c r="A220" s="673" t="s">
        <v>544</v>
      </c>
      <c r="B220" s="674" t="s">
        <v>546</v>
      </c>
      <c r="C220" s="283"/>
      <c r="D220" s="283"/>
      <c r="E220" s="687"/>
      <c r="F220" s="295"/>
      <c r="G220" s="295"/>
      <c r="H220" s="295"/>
      <c r="I220" s="295"/>
      <c r="J220" s="295"/>
      <c r="K220" s="295"/>
      <c r="L220" s="295"/>
      <c r="M220" s="295"/>
      <c r="N220" s="295"/>
      <c r="O220" s="295"/>
      <c r="P220" s="295"/>
      <c r="Q220" s="295"/>
      <c r="R220" s="295"/>
      <c r="S220" s="295"/>
      <c r="T220" s="295"/>
      <c r="U220" s="285"/>
      <c r="V220" s="294"/>
      <c r="W220" s="294"/>
      <c r="X220" s="294"/>
      <c r="Y220" s="294"/>
      <c r="Z220" s="294"/>
      <c r="AA220" s="294"/>
      <c r="AB220" s="294"/>
      <c r="AC220" s="294"/>
      <c r="AD220" s="294"/>
      <c r="AE220" s="685"/>
      <c r="AF220" s="685"/>
      <c r="AG220" s="685"/>
    </row>
    <row r="221" spans="1:33" x14ac:dyDescent="0.25">
      <c r="A221" s="673" t="s">
        <v>544</v>
      </c>
      <c r="B221" s="674" t="s">
        <v>547</v>
      </c>
      <c r="C221" s="283"/>
      <c r="D221" s="283"/>
      <c r="E221" s="687"/>
      <c r="F221" s="295"/>
      <c r="G221" s="295"/>
      <c r="H221" s="295"/>
      <c r="I221" s="295"/>
      <c r="J221" s="295"/>
      <c r="K221" s="295"/>
      <c r="L221" s="295"/>
      <c r="M221" s="295"/>
      <c r="N221" s="295"/>
      <c r="O221" s="295"/>
      <c r="P221" s="295"/>
      <c r="Q221" s="295"/>
      <c r="R221" s="295"/>
      <c r="S221" s="295"/>
      <c r="T221" s="295"/>
      <c r="U221" s="295"/>
      <c r="V221" s="285"/>
      <c r="W221" s="294"/>
      <c r="X221" s="294"/>
      <c r="Y221" s="294"/>
      <c r="Z221" s="294"/>
      <c r="AA221" s="294"/>
      <c r="AB221" s="294"/>
      <c r="AC221" s="294"/>
      <c r="AD221" s="294"/>
      <c r="AE221" s="685"/>
      <c r="AF221" s="685"/>
      <c r="AG221" s="685"/>
    </row>
    <row r="222" spans="1:33" x14ac:dyDescent="0.25">
      <c r="A222" s="673" t="s">
        <v>544</v>
      </c>
      <c r="B222" s="674" t="s">
        <v>557</v>
      </c>
      <c r="C222" s="283"/>
      <c r="D222" s="283"/>
      <c r="E222" s="687"/>
      <c r="F222" s="295"/>
      <c r="G222" s="295"/>
      <c r="H222" s="295"/>
      <c r="I222" s="295"/>
      <c r="J222" s="295"/>
      <c r="K222" s="295"/>
      <c r="L222" s="295"/>
      <c r="M222" s="295"/>
      <c r="N222" s="295"/>
      <c r="O222" s="295"/>
      <c r="P222" s="295"/>
      <c r="Q222" s="295"/>
      <c r="R222" s="295"/>
      <c r="S222" s="295"/>
      <c r="T222" s="295"/>
      <c r="U222" s="295"/>
      <c r="V222" s="295"/>
      <c r="W222" s="285"/>
      <c r="X222" s="294"/>
      <c r="Y222" s="294"/>
      <c r="Z222" s="294"/>
      <c r="AA222" s="294"/>
      <c r="AB222" s="294"/>
      <c r="AC222" s="294"/>
      <c r="AD222" s="294"/>
      <c r="AE222" s="685"/>
      <c r="AF222" s="685"/>
      <c r="AG222" s="685"/>
    </row>
    <row r="223" spans="1:33" x14ac:dyDescent="0.25">
      <c r="A223" s="673" t="s">
        <v>544</v>
      </c>
      <c r="B223" s="674" t="s">
        <v>558</v>
      </c>
      <c r="C223" s="283"/>
      <c r="D223" s="283"/>
      <c r="E223" s="687"/>
      <c r="F223" s="295"/>
      <c r="G223" s="295"/>
      <c r="H223" s="295"/>
      <c r="I223" s="295"/>
      <c r="J223" s="295"/>
      <c r="K223" s="295"/>
      <c r="L223" s="295"/>
      <c r="M223" s="295"/>
      <c r="N223" s="295"/>
      <c r="O223" s="295"/>
      <c r="P223" s="295"/>
      <c r="Q223" s="295"/>
      <c r="R223" s="295"/>
      <c r="S223" s="295"/>
      <c r="T223" s="295"/>
      <c r="U223" s="295"/>
      <c r="V223" s="295"/>
      <c r="W223" s="295"/>
      <c r="X223" s="285"/>
      <c r="Y223" s="294"/>
      <c r="Z223" s="294"/>
      <c r="AA223" s="294"/>
      <c r="AB223" s="294"/>
      <c r="AC223" s="294"/>
      <c r="AD223" s="294"/>
      <c r="AE223" s="685"/>
      <c r="AF223" s="685"/>
      <c r="AG223" s="685"/>
    </row>
    <row r="224" spans="1:33" x14ac:dyDescent="0.25">
      <c r="A224" s="673" t="s">
        <v>544</v>
      </c>
      <c r="B224" s="674" t="s">
        <v>559</v>
      </c>
      <c r="C224" s="283"/>
      <c r="D224" s="283"/>
      <c r="E224" s="687"/>
      <c r="F224" s="295"/>
      <c r="G224" s="295"/>
      <c r="H224" s="295"/>
      <c r="I224" s="295"/>
      <c r="J224" s="295"/>
      <c r="K224" s="295"/>
      <c r="L224" s="295"/>
      <c r="M224" s="295"/>
      <c r="N224" s="295"/>
      <c r="O224" s="295"/>
      <c r="P224" s="295"/>
      <c r="Q224" s="295"/>
      <c r="R224" s="295"/>
      <c r="S224" s="295"/>
      <c r="T224" s="295"/>
      <c r="U224" s="295"/>
      <c r="V224" s="295"/>
      <c r="W224" s="295"/>
      <c r="X224" s="295"/>
      <c r="Y224" s="285"/>
      <c r="Z224" s="685"/>
      <c r="AA224" s="685"/>
      <c r="AB224" s="685"/>
      <c r="AC224" s="685"/>
      <c r="AD224" s="685"/>
      <c r="AE224" s="685"/>
      <c r="AF224" s="685"/>
      <c r="AG224" s="685"/>
    </row>
    <row r="225" spans="1:33" x14ac:dyDescent="0.25">
      <c r="A225" s="673" t="s">
        <v>544</v>
      </c>
      <c r="B225" s="674" t="s">
        <v>1003</v>
      </c>
      <c r="C225" s="283"/>
      <c r="D225" s="283"/>
      <c r="E225" s="687"/>
      <c r="F225" s="295"/>
      <c r="G225" s="295"/>
      <c r="H225" s="295"/>
      <c r="I225" s="295"/>
      <c r="J225" s="295"/>
      <c r="K225" s="295"/>
      <c r="L225" s="295"/>
      <c r="M225" s="295"/>
      <c r="N225" s="295"/>
      <c r="O225" s="295"/>
      <c r="P225" s="295"/>
      <c r="Q225" s="295"/>
      <c r="R225" s="295"/>
      <c r="S225" s="295"/>
      <c r="T225" s="295"/>
      <c r="U225" s="295"/>
      <c r="V225" s="295"/>
      <c r="W225" s="295"/>
      <c r="X225" s="295"/>
      <c r="Y225" s="295"/>
      <c r="Z225" s="285"/>
      <c r="AA225" s="294"/>
      <c r="AB225" s="294"/>
      <c r="AC225" s="294"/>
      <c r="AD225" s="294"/>
      <c r="AE225" s="283"/>
      <c r="AF225" s="283"/>
      <c r="AG225" s="685"/>
    </row>
    <row r="226" spans="1:33" x14ac:dyDescent="0.25">
      <c r="A226" s="673" t="s">
        <v>544</v>
      </c>
      <c r="B226" s="674" t="s">
        <v>1004</v>
      </c>
      <c r="C226" s="283"/>
      <c r="D226" s="283"/>
      <c r="E226" s="687"/>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85"/>
      <c r="AB226" s="294"/>
      <c r="AC226" s="294"/>
      <c r="AD226" s="294"/>
      <c r="AE226" s="283"/>
      <c r="AF226" s="283"/>
      <c r="AG226" s="685"/>
    </row>
    <row r="227" spans="1:33" x14ac:dyDescent="0.25">
      <c r="A227" s="673" t="s">
        <v>544</v>
      </c>
      <c r="B227" s="674" t="s">
        <v>1005</v>
      </c>
      <c r="C227" s="283"/>
      <c r="D227" s="283"/>
      <c r="E227" s="687"/>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85"/>
      <c r="AC227" s="294"/>
      <c r="AD227" s="294"/>
      <c r="AE227" s="283"/>
      <c r="AF227" s="283"/>
      <c r="AG227" s="685"/>
    </row>
    <row r="228" spans="1:33" x14ac:dyDescent="0.25">
      <c r="A228" s="673" t="s">
        <v>544</v>
      </c>
      <c r="B228" s="674" t="s">
        <v>1006</v>
      </c>
      <c r="C228" s="283"/>
      <c r="D228" s="283"/>
      <c r="E228" s="687"/>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85"/>
      <c r="AD228" s="294"/>
      <c r="AE228" s="283"/>
      <c r="AF228" s="283"/>
      <c r="AG228" s="685"/>
    </row>
    <row r="229" spans="1:33" x14ac:dyDescent="0.25">
      <c r="A229" s="673" t="s">
        <v>544</v>
      </c>
      <c r="B229" s="674" t="s">
        <v>1007</v>
      </c>
      <c r="C229" s="283"/>
      <c r="D229" s="283"/>
      <c r="E229" s="687"/>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85"/>
      <c r="AE229" s="283"/>
      <c r="AF229" s="283"/>
      <c r="AG229" s="685"/>
    </row>
    <row r="230" spans="1:33" ht="13" x14ac:dyDescent="0.3">
      <c r="A230" s="677"/>
      <c r="B230" s="678" t="s">
        <v>271</v>
      </c>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row>
    <row r="231" spans="1:33" x14ac:dyDescent="0.25">
      <c r="C231" s="689"/>
    </row>
    <row r="234" spans="1:33" ht="13" x14ac:dyDescent="0.3">
      <c r="B234" s="668" t="s">
        <v>556</v>
      </c>
      <c r="F234" s="669" t="s">
        <v>10</v>
      </c>
    </row>
    <row r="235" spans="1:33" ht="26.15" customHeight="1" x14ac:dyDescent="0.35">
      <c r="A235" s="670"/>
      <c r="B235" s="683" t="s">
        <v>418</v>
      </c>
      <c r="C235" s="1780" t="s">
        <v>526</v>
      </c>
      <c r="D235" s="1780" t="s">
        <v>527</v>
      </c>
      <c r="E235" s="1780" t="s">
        <v>598</v>
      </c>
      <c r="F235" s="1782" t="s">
        <v>599</v>
      </c>
      <c r="G235" s="1783"/>
      <c r="H235" s="1783"/>
      <c r="I235" s="1783"/>
      <c r="J235" s="1783"/>
      <c r="K235" s="1783"/>
      <c r="L235" s="1783"/>
      <c r="M235" s="1783"/>
      <c r="N235" s="1783"/>
      <c r="O235" s="1783"/>
      <c r="P235" s="1783"/>
      <c r="Q235" s="1783"/>
      <c r="R235" s="1783"/>
      <c r="S235" s="1783"/>
      <c r="T235" s="1783"/>
      <c r="U235" s="1783"/>
      <c r="V235" s="1783"/>
      <c r="W235" s="1783"/>
      <c r="X235" s="1783"/>
      <c r="Y235" s="1783"/>
      <c r="Z235" s="1783"/>
      <c r="AA235" s="1783"/>
      <c r="AB235" s="1783"/>
      <c r="AC235" s="1783"/>
      <c r="AD235" s="1784"/>
      <c r="AE235" s="671" t="s">
        <v>549</v>
      </c>
      <c r="AF235" s="671" t="s">
        <v>542</v>
      </c>
      <c r="AG235" s="671" t="s">
        <v>550</v>
      </c>
    </row>
    <row r="236" spans="1:33" ht="12.9" customHeight="1" x14ac:dyDescent="0.25">
      <c r="A236" s="670"/>
      <c r="B236" s="683"/>
      <c r="C236" s="1781"/>
      <c r="D236" s="1781"/>
      <c r="E236" s="1781"/>
      <c r="F236" s="672" t="s">
        <v>528</v>
      </c>
      <c r="G236" s="672" t="s">
        <v>529</v>
      </c>
      <c r="H236" s="672" t="s">
        <v>530</v>
      </c>
      <c r="I236" s="672" t="s">
        <v>531</v>
      </c>
      <c r="J236" s="672" t="s">
        <v>532</v>
      </c>
      <c r="K236" s="672" t="s">
        <v>533</v>
      </c>
      <c r="L236" s="672" t="s">
        <v>534</v>
      </c>
      <c r="M236" s="672" t="s">
        <v>535</v>
      </c>
      <c r="N236" s="672" t="s">
        <v>536</v>
      </c>
      <c r="O236" s="672" t="s">
        <v>537</v>
      </c>
      <c r="P236" s="672" t="s">
        <v>538</v>
      </c>
      <c r="Q236" s="672" t="s">
        <v>539</v>
      </c>
      <c r="R236" s="672" t="s">
        <v>540</v>
      </c>
      <c r="S236" s="672" t="s">
        <v>541</v>
      </c>
      <c r="T236" s="672" t="s">
        <v>326</v>
      </c>
      <c r="U236" s="672" t="s">
        <v>517</v>
      </c>
      <c r="V236" s="672" t="s">
        <v>518</v>
      </c>
      <c r="W236" s="672" t="s">
        <v>519</v>
      </c>
      <c r="X236" s="672" t="s">
        <v>520</v>
      </c>
      <c r="Y236" s="672" t="s">
        <v>521</v>
      </c>
      <c r="Z236" s="672" t="s">
        <v>940</v>
      </c>
      <c r="AA236" s="672" t="s">
        <v>941</v>
      </c>
      <c r="AB236" s="672" t="s">
        <v>945</v>
      </c>
      <c r="AC236" s="672" t="s">
        <v>942</v>
      </c>
      <c r="AD236" s="672" t="s">
        <v>944</v>
      </c>
      <c r="AE236" s="671"/>
      <c r="AF236" s="671"/>
      <c r="AG236" s="671"/>
    </row>
    <row r="237" spans="1:33" x14ac:dyDescent="0.25">
      <c r="A237" s="673" t="s">
        <v>543</v>
      </c>
      <c r="B237" s="674">
        <v>2005</v>
      </c>
      <c r="C237" s="673"/>
      <c r="D237" s="673"/>
      <c r="E237" s="68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685"/>
      <c r="AF237" s="685"/>
      <c r="AG237" s="685"/>
    </row>
    <row r="238" spans="1:33" x14ac:dyDescent="0.25">
      <c r="A238" s="673" t="s">
        <v>544</v>
      </c>
      <c r="B238" s="674" t="s">
        <v>528</v>
      </c>
      <c r="C238" s="673"/>
      <c r="D238" s="673"/>
      <c r="E238" s="684"/>
      <c r="F238" s="285"/>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685"/>
      <c r="AF238" s="685"/>
      <c r="AG238" s="685"/>
    </row>
    <row r="239" spans="1:33" x14ac:dyDescent="0.25">
      <c r="A239" s="673" t="s">
        <v>544</v>
      </c>
      <c r="B239" s="674" t="s">
        <v>529</v>
      </c>
      <c r="C239" s="673"/>
      <c r="D239" s="673"/>
      <c r="E239" s="684"/>
      <c r="F239" s="295"/>
      <c r="G239" s="285"/>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685"/>
      <c r="AF239" s="685"/>
      <c r="AG239" s="685"/>
    </row>
    <row r="240" spans="1:33" x14ac:dyDescent="0.25">
      <c r="A240" s="673" t="s">
        <v>544</v>
      </c>
      <c r="B240" s="674" t="s">
        <v>530</v>
      </c>
      <c r="C240" s="673"/>
      <c r="D240" s="673"/>
      <c r="E240" s="684"/>
      <c r="F240" s="295"/>
      <c r="G240" s="295"/>
      <c r="H240" s="285"/>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685"/>
      <c r="AF240" s="685"/>
      <c r="AG240" s="685"/>
    </row>
    <row r="241" spans="1:33" x14ac:dyDescent="0.25">
      <c r="A241" s="673" t="s">
        <v>544</v>
      </c>
      <c r="B241" s="674" t="s">
        <v>531</v>
      </c>
      <c r="C241" s="673"/>
      <c r="D241" s="673"/>
      <c r="E241" s="684"/>
      <c r="F241" s="295"/>
      <c r="G241" s="295"/>
      <c r="H241" s="295"/>
      <c r="I241" s="285"/>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685"/>
      <c r="AF241" s="685"/>
      <c r="AG241" s="685"/>
    </row>
    <row r="242" spans="1:33" x14ac:dyDescent="0.25">
      <c r="A242" s="673" t="s">
        <v>544</v>
      </c>
      <c r="B242" s="674" t="s">
        <v>532</v>
      </c>
      <c r="C242" s="673"/>
      <c r="D242" s="673"/>
      <c r="E242" s="684"/>
      <c r="F242" s="295"/>
      <c r="G242" s="295"/>
      <c r="H242" s="295"/>
      <c r="I242" s="295"/>
      <c r="J242" s="285"/>
      <c r="K242" s="294"/>
      <c r="L242" s="294"/>
      <c r="M242" s="294"/>
      <c r="N242" s="294"/>
      <c r="O242" s="294"/>
      <c r="P242" s="294"/>
      <c r="Q242" s="294"/>
      <c r="R242" s="294"/>
      <c r="S242" s="294"/>
      <c r="T242" s="294"/>
      <c r="U242" s="294"/>
      <c r="V242" s="294"/>
      <c r="W242" s="294"/>
      <c r="X242" s="294"/>
      <c r="Y242" s="294"/>
      <c r="Z242" s="294"/>
      <c r="AA242" s="294"/>
      <c r="AB242" s="294"/>
      <c r="AC242" s="294"/>
      <c r="AD242" s="294"/>
      <c r="AE242" s="685"/>
      <c r="AF242" s="685"/>
      <c r="AG242" s="685"/>
    </row>
    <row r="243" spans="1:33" x14ac:dyDescent="0.25">
      <c r="A243" s="673" t="s">
        <v>544</v>
      </c>
      <c r="B243" s="674" t="s">
        <v>533</v>
      </c>
      <c r="C243" s="673"/>
      <c r="D243" s="673"/>
      <c r="E243" s="684"/>
      <c r="F243" s="295"/>
      <c r="G243" s="295"/>
      <c r="H243" s="295"/>
      <c r="I243" s="295"/>
      <c r="J243" s="295"/>
      <c r="K243" s="285"/>
      <c r="L243" s="294"/>
      <c r="M243" s="294"/>
      <c r="N243" s="294"/>
      <c r="O243" s="294"/>
      <c r="P243" s="294"/>
      <c r="Q243" s="294"/>
      <c r="R243" s="294"/>
      <c r="S243" s="294"/>
      <c r="T243" s="294"/>
      <c r="U243" s="294"/>
      <c r="V243" s="294"/>
      <c r="W243" s="294"/>
      <c r="X243" s="294"/>
      <c r="Y243" s="294"/>
      <c r="Z243" s="294"/>
      <c r="AA243" s="294"/>
      <c r="AB243" s="294"/>
      <c r="AC243" s="294"/>
      <c r="AD243" s="294"/>
      <c r="AE243" s="685"/>
      <c r="AF243" s="685"/>
      <c r="AG243" s="685"/>
    </row>
    <row r="244" spans="1:33" x14ac:dyDescent="0.25">
      <c r="A244" s="673" t="s">
        <v>544</v>
      </c>
      <c r="B244" s="674" t="s">
        <v>534</v>
      </c>
      <c r="C244" s="673"/>
      <c r="D244" s="673"/>
      <c r="E244" s="684"/>
      <c r="F244" s="295"/>
      <c r="G244" s="295"/>
      <c r="H244" s="295"/>
      <c r="I244" s="295"/>
      <c r="J244" s="295"/>
      <c r="K244" s="295"/>
      <c r="L244" s="285"/>
      <c r="M244" s="294"/>
      <c r="N244" s="294"/>
      <c r="O244" s="294"/>
      <c r="P244" s="294"/>
      <c r="Q244" s="294"/>
      <c r="R244" s="294"/>
      <c r="S244" s="294"/>
      <c r="T244" s="294"/>
      <c r="U244" s="294"/>
      <c r="V244" s="294"/>
      <c r="W244" s="294"/>
      <c r="X244" s="294"/>
      <c r="Y244" s="294"/>
      <c r="Z244" s="294"/>
      <c r="AA244" s="294"/>
      <c r="AB244" s="294"/>
      <c r="AC244" s="294"/>
      <c r="AD244" s="294"/>
      <c r="AE244" s="685"/>
      <c r="AF244" s="685"/>
      <c r="AG244" s="685"/>
    </row>
    <row r="245" spans="1:33" x14ac:dyDescent="0.25">
      <c r="A245" s="673" t="s">
        <v>544</v>
      </c>
      <c r="B245" s="674" t="s">
        <v>535</v>
      </c>
      <c r="C245" s="673"/>
      <c r="D245" s="673"/>
      <c r="E245" s="684"/>
      <c r="F245" s="295"/>
      <c r="G245" s="295"/>
      <c r="H245" s="295"/>
      <c r="I245" s="295"/>
      <c r="J245" s="295"/>
      <c r="K245" s="295"/>
      <c r="L245" s="295"/>
      <c r="M245" s="285"/>
      <c r="N245" s="294"/>
      <c r="O245" s="294"/>
      <c r="P245" s="294"/>
      <c r="Q245" s="294"/>
      <c r="R245" s="294"/>
      <c r="S245" s="294"/>
      <c r="T245" s="294"/>
      <c r="U245" s="294"/>
      <c r="V245" s="294"/>
      <c r="W245" s="294"/>
      <c r="X245" s="294"/>
      <c r="Y245" s="294"/>
      <c r="Z245" s="294"/>
      <c r="AA245" s="294"/>
      <c r="AB245" s="294"/>
      <c r="AC245" s="294"/>
      <c r="AD245" s="294"/>
      <c r="AE245" s="685"/>
      <c r="AF245" s="685"/>
      <c r="AG245" s="685"/>
    </row>
    <row r="246" spans="1:33" x14ac:dyDescent="0.25">
      <c r="A246" s="673" t="s">
        <v>544</v>
      </c>
      <c r="B246" s="674" t="s">
        <v>536</v>
      </c>
      <c r="C246" s="673"/>
      <c r="D246" s="673"/>
      <c r="E246" s="684"/>
      <c r="F246" s="295"/>
      <c r="G246" s="295"/>
      <c r="H246" s="295"/>
      <c r="I246" s="295"/>
      <c r="J246" s="295"/>
      <c r="K246" s="295"/>
      <c r="L246" s="295"/>
      <c r="M246" s="295"/>
      <c r="N246" s="285"/>
      <c r="O246" s="294"/>
      <c r="P246" s="294"/>
      <c r="Q246" s="294"/>
      <c r="R246" s="294"/>
      <c r="S246" s="294"/>
      <c r="T246" s="294"/>
      <c r="U246" s="294"/>
      <c r="V246" s="294"/>
      <c r="W246" s="294"/>
      <c r="X246" s="294"/>
      <c r="Y246" s="294"/>
      <c r="Z246" s="294"/>
      <c r="AA246" s="294"/>
      <c r="AB246" s="294"/>
      <c r="AC246" s="294"/>
      <c r="AD246" s="294"/>
      <c r="AE246" s="685"/>
      <c r="AF246" s="685"/>
      <c r="AG246" s="685"/>
    </row>
    <row r="247" spans="1:33" x14ac:dyDescent="0.25">
      <c r="A247" s="673" t="s">
        <v>544</v>
      </c>
      <c r="B247" s="674" t="s">
        <v>537</v>
      </c>
      <c r="C247" s="283"/>
      <c r="D247" s="673"/>
      <c r="E247" s="684"/>
      <c r="F247" s="295"/>
      <c r="G247" s="295"/>
      <c r="H247" s="295"/>
      <c r="I247" s="295"/>
      <c r="J247" s="295"/>
      <c r="K247" s="295"/>
      <c r="L247" s="295"/>
      <c r="M247" s="295"/>
      <c r="N247" s="295"/>
      <c r="O247" s="285"/>
      <c r="P247" s="294"/>
      <c r="Q247" s="294"/>
      <c r="R247" s="294"/>
      <c r="S247" s="294"/>
      <c r="T247" s="294"/>
      <c r="U247" s="294"/>
      <c r="V247" s="294"/>
      <c r="W247" s="294"/>
      <c r="X247" s="294"/>
      <c r="Y247" s="294"/>
      <c r="Z247" s="294"/>
      <c r="AA247" s="294"/>
      <c r="AB247" s="294"/>
      <c r="AC247" s="294"/>
      <c r="AD247" s="294"/>
      <c r="AE247" s="685"/>
      <c r="AF247" s="685"/>
      <c r="AG247" s="685"/>
    </row>
    <row r="248" spans="1:33" x14ac:dyDescent="0.25">
      <c r="A248" s="673" t="s">
        <v>544</v>
      </c>
      <c r="B248" s="674" t="s">
        <v>538</v>
      </c>
      <c r="C248" s="283"/>
      <c r="D248" s="673"/>
      <c r="E248" s="684"/>
      <c r="F248" s="295"/>
      <c r="G248" s="295"/>
      <c r="H248" s="295"/>
      <c r="I248" s="295"/>
      <c r="J248" s="295"/>
      <c r="K248" s="295"/>
      <c r="L248" s="295"/>
      <c r="M248" s="295"/>
      <c r="N248" s="295"/>
      <c r="O248" s="295"/>
      <c r="P248" s="285"/>
      <c r="Q248" s="294"/>
      <c r="R248" s="294"/>
      <c r="S248" s="294"/>
      <c r="T248" s="294"/>
      <c r="U248" s="294"/>
      <c r="V248" s="294"/>
      <c r="W248" s="294"/>
      <c r="X248" s="294"/>
      <c r="Y248" s="294"/>
      <c r="Z248" s="294"/>
      <c r="AA248" s="294"/>
      <c r="AB248" s="294"/>
      <c r="AC248" s="294"/>
      <c r="AD248" s="294"/>
      <c r="AE248" s="685"/>
      <c r="AF248" s="685"/>
      <c r="AG248" s="685"/>
    </row>
    <row r="249" spans="1:33" x14ac:dyDescent="0.25">
      <c r="A249" s="673" t="s">
        <v>544</v>
      </c>
      <c r="B249" s="674" t="s">
        <v>539</v>
      </c>
      <c r="C249" s="283"/>
      <c r="D249" s="283"/>
      <c r="E249" s="684"/>
      <c r="F249" s="295"/>
      <c r="G249" s="295"/>
      <c r="H249" s="295"/>
      <c r="I249" s="295"/>
      <c r="J249" s="295"/>
      <c r="K249" s="295"/>
      <c r="L249" s="295"/>
      <c r="M249" s="295"/>
      <c r="N249" s="295"/>
      <c r="O249" s="295"/>
      <c r="P249" s="295"/>
      <c r="Q249" s="285"/>
      <c r="R249" s="294"/>
      <c r="S249" s="294"/>
      <c r="T249" s="294"/>
      <c r="U249" s="294"/>
      <c r="V249" s="294"/>
      <c r="W249" s="294"/>
      <c r="X249" s="294"/>
      <c r="Y249" s="294"/>
      <c r="Z249" s="294"/>
      <c r="AA249" s="294"/>
      <c r="AB249" s="294"/>
      <c r="AC249" s="294"/>
      <c r="AD249" s="294"/>
      <c r="AE249" s="685"/>
      <c r="AF249" s="685"/>
      <c r="AG249" s="685"/>
    </row>
    <row r="250" spans="1:33" x14ac:dyDescent="0.25">
      <c r="A250" s="673" t="s">
        <v>544</v>
      </c>
      <c r="B250" s="674" t="s">
        <v>540</v>
      </c>
      <c r="C250" s="283"/>
      <c r="D250" s="283"/>
      <c r="E250" s="684"/>
      <c r="F250" s="295"/>
      <c r="G250" s="295"/>
      <c r="H250" s="295"/>
      <c r="I250" s="295"/>
      <c r="J250" s="295"/>
      <c r="K250" s="295"/>
      <c r="L250" s="295"/>
      <c r="M250" s="295"/>
      <c r="N250" s="295"/>
      <c r="O250" s="295"/>
      <c r="P250" s="295"/>
      <c r="Q250" s="295"/>
      <c r="R250" s="285"/>
      <c r="S250" s="294"/>
      <c r="T250" s="294"/>
      <c r="U250" s="294"/>
      <c r="V250" s="294"/>
      <c r="W250" s="294"/>
      <c r="X250" s="294"/>
      <c r="Y250" s="294"/>
      <c r="Z250" s="294"/>
      <c r="AA250" s="294"/>
      <c r="AB250" s="294"/>
      <c r="AC250" s="294"/>
      <c r="AD250" s="294"/>
      <c r="AE250" s="685"/>
      <c r="AF250" s="685"/>
      <c r="AG250" s="685"/>
    </row>
    <row r="251" spans="1:33" x14ac:dyDescent="0.25">
      <c r="A251" s="673" t="s">
        <v>544</v>
      </c>
      <c r="B251" s="674" t="s">
        <v>541</v>
      </c>
      <c r="C251" s="283"/>
      <c r="D251" s="283"/>
      <c r="E251" s="684"/>
      <c r="F251" s="295"/>
      <c r="G251" s="295"/>
      <c r="H251" s="295"/>
      <c r="I251" s="295"/>
      <c r="J251" s="295"/>
      <c r="K251" s="295"/>
      <c r="L251" s="295"/>
      <c r="M251" s="295"/>
      <c r="N251" s="295"/>
      <c r="O251" s="295"/>
      <c r="P251" s="295"/>
      <c r="Q251" s="295"/>
      <c r="R251" s="295"/>
      <c r="S251" s="285"/>
      <c r="T251" s="294"/>
      <c r="U251" s="294"/>
      <c r="V251" s="294"/>
      <c r="W251" s="294"/>
      <c r="X251" s="294"/>
      <c r="Y251" s="294"/>
      <c r="Z251" s="294"/>
      <c r="AA251" s="294"/>
      <c r="AB251" s="294"/>
      <c r="AC251" s="294"/>
      <c r="AD251" s="294"/>
      <c r="AE251" s="685"/>
      <c r="AF251" s="685"/>
      <c r="AG251" s="685"/>
    </row>
    <row r="252" spans="1:33" x14ac:dyDescent="0.25">
      <c r="A252" s="673" t="s">
        <v>544</v>
      </c>
      <c r="B252" s="674" t="s">
        <v>545</v>
      </c>
      <c r="C252" s="283"/>
      <c r="D252" s="283"/>
      <c r="E252" s="687"/>
      <c r="F252" s="295"/>
      <c r="G252" s="295"/>
      <c r="H252" s="295"/>
      <c r="I252" s="295"/>
      <c r="J252" s="295"/>
      <c r="K252" s="295"/>
      <c r="L252" s="295"/>
      <c r="M252" s="295"/>
      <c r="N252" s="295"/>
      <c r="O252" s="295"/>
      <c r="P252" s="295"/>
      <c r="Q252" s="295"/>
      <c r="R252" s="295"/>
      <c r="S252" s="295"/>
      <c r="T252" s="285"/>
      <c r="U252" s="294"/>
      <c r="V252" s="294"/>
      <c r="W252" s="294"/>
      <c r="X252" s="294"/>
      <c r="Y252" s="294"/>
      <c r="Z252" s="294"/>
      <c r="AA252" s="294"/>
      <c r="AB252" s="294"/>
      <c r="AC252" s="294"/>
      <c r="AD252" s="294"/>
      <c r="AE252" s="685"/>
      <c r="AF252" s="685"/>
      <c r="AG252" s="685"/>
    </row>
    <row r="253" spans="1:33" x14ac:dyDescent="0.25">
      <c r="A253" s="673" t="s">
        <v>544</v>
      </c>
      <c r="B253" s="674" t="s">
        <v>546</v>
      </c>
      <c r="C253" s="283"/>
      <c r="D253" s="283"/>
      <c r="E253" s="687"/>
      <c r="F253" s="295"/>
      <c r="G253" s="295"/>
      <c r="H253" s="295"/>
      <c r="I253" s="295"/>
      <c r="J253" s="295"/>
      <c r="K253" s="295"/>
      <c r="L253" s="295"/>
      <c r="M253" s="295"/>
      <c r="N253" s="295"/>
      <c r="O253" s="295"/>
      <c r="P253" s="295"/>
      <c r="Q253" s="295"/>
      <c r="R253" s="295"/>
      <c r="S253" s="295"/>
      <c r="T253" s="295"/>
      <c r="U253" s="285"/>
      <c r="V253" s="294"/>
      <c r="W253" s="294"/>
      <c r="X253" s="294"/>
      <c r="Y253" s="294"/>
      <c r="Z253" s="294"/>
      <c r="AA253" s="294"/>
      <c r="AB253" s="294"/>
      <c r="AC253" s="294"/>
      <c r="AD253" s="294"/>
      <c r="AE253" s="685"/>
      <c r="AF253" s="685"/>
      <c r="AG253" s="685"/>
    </row>
    <row r="254" spans="1:33" x14ac:dyDescent="0.25">
      <c r="A254" s="673" t="s">
        <v>544</v>
      </c>
      <c r="B254" s="674" t="s">
        <v>547</v>
      </c>
      <c r="C254" s="283"/>
      <c r="D254" s="283"/>
      <c r="E254" s="687"/>
      <c r="F254" s="295"/>
      <c r="G254" s="295"/>
      <c r="H254" s="295"/>
      <c r="I254" s="295"/>
      <c r="J254" s="295"/>
      <c r="K254" s="295"/>
      <c r="L254" s="295"/>
      <c r="M254" s="295"/>
      <c r="N254" s="295"/>
      <c r="O254" s="295"/>
      <c r="P254" s="295"/>
      <c r="Q254" s="295"/>
      <c r="R254" s="295"/>
      <c r="S254" s="295"/>
      <c r="T254" s="295"/>
      <c r="U254" s="295"/>
      <c r="V254" s="285"/>
      <c r="W254" s="294"/>
      <c r="X254" s="294"/>
      <c r="Y254" s="294"/>
      <c r="Z254" s="294"/>
      <c r="AA254" s="294"/>
      <c r="AB254" s="294"/>
      <c r="AC254" s="294"/>
      <c r="AD254" s="294"/>
      <c r="AE254" s="685"/>
      <c r="AF254" s="685"/>
      <c r="AG254" s="685"/>
    </row>
    <row r="255" spans="1:33" x14ac:dyDescent="0.25">
      <c r="A255" s="673" t="s">
        <v>544</v>
      </c>
      <c r="B255" s="674" t="s">
        <v>557</v>
      </c>
      <c r="C255" s="283"/>
      <c r="D255" s="283"/>
      <c r="E255" s="687"/>
      <c r="F255" s="295"/>
      <c r="G255" s="295"/>
      <c r="H255" s="295"/>
      <c r="I255" s="295"/>
      <c r="J255" s="295"/>
      <c r="K255" s="295"/>
      <c r="L255" s="295"/>
      <c r="M255" s="295"/>
      <c r="N255" s="295"/>
      <c r="O255" s="295"/>
      <c r="P255" s="295"/>
      <c r="Q255" s="295"/>
      <c r="R255" s="295"/>
      <c r="S255" s="295"/>
      <c r="T255" s="295"/>
      <c r="U255" s="295"/>
      <c r="V255" s="295"/>
      <c r="W255" s="285"/>
      <c r="X255" s="294"/>
      <c r="Y255" s="294"/>
      <c r="Z255" s="294"/>
      <c r="AA255" s="294"/>
      <c r="AB255" s="294"/>
      <c r="AC255" s="294"/>
      <c r="AD255" s="294"/>
      <c r="AE255" s="685"/>
      <c r="AF255" s="685"/>
      <c r="AG255" s="685"/>
    </row>
    <row r="256" spans="1:33" x14ac:dyDescent="0.25">
      <c r="A256" s="673" t="s">
        <v>544</v>
      </c>
      <c r="B256" s="674" t="s">
        <v>558</v>
      </c>
      <c r="C256" s="283"/>
      <c r="D256" s="283"/>
      <c r="E256" s="687"/>
      <c r="F256" s="295"/>
      <c r="G256" s="295"/>
      <c r="H256" s="295"/>
      <c r="I256" s="295"/>
      <c r="J256" s="295"/>
      <c r="K256" s="295"/>
      <c r="L256" s="295"/>
      <c r="M256" s="295"/>
      <c r="N256" s="295"/>
      <c r="O256" s="295"/>
      <c r="P256" s="295"/>
      <c r="Q256" s="295"/>
      <c r="R256" s="295"/>
      <c r="S256" s="295"/>
      <c r="T256" s="295"/>
      <c r="U256" s="295"/>
      <c r="V256" s="295"/>
      <c r="W256" s="295"/>
      <c r="X256" s="285"/>
      <c r="Y256" s="294"/>
      <c r="Z256" s="294"/>
      <c r="AA256" s="294"/>
      <c r="AB256" s="294"/>
      <c r="AC256" s="294"/>
      <c r="AD256" s="294"/>
      <c r="AE256" s="685"/>
      <c r="AF256" s="685"/>
      <c r="AG256" s="685"/>
    </row>
    <row r="257" spans="1:33" x14ac:dyDescent="0.25">
      <c r="A257" s="673" t="s">
        <v>544</v>
      </c>
      <c r="B257" s="674" t="s">
        <v>559</v>
      </c>
      <c r="C257" s="283"/>
      <c r="D257" s="283"/>
      <c r="E257" s="687"/>
      <c r="F257" s="295"/>
      <c r="G257" s="295"/>
      <c r="H257" s="295"/>
      <c r="I257" s="295"/>
      <c r="J257" s="295"/>
      <c r="K257" s="295"/>
      <c r="L257" s="295"/>
      <c r="M257" s="295"/>
      <c r="N257" s="295"/>
      <c r="O257" s="295"/>
      <c r="P257" s="295"/>
      <c r="Q257" s="295"/>
      <c r="R257" s="295"/>
      <c r="S257" s="295"/>
      <c r="T257" s="295"/>
      <c r="U257" s="295"/>
      <c r="V257" s="295"/>
      <c r="W257" s="295"/>
      <c r="X257" s="295"/>
      <c r="Y257" s="285"/>
      <c r="Z257" s="685"/>
      <c r="AA257" s="685"/>
      <c r="AB257" s="685"/>
      <c r="AC257" s="685"/>
      <c r="AD257" s="685"/>
      <c r="AE257" s="685"/>
      <c r="AF257" s="685"/>
      <c r="AG257" s="685"/>
    </row>
    <row r="258" spans="1:33" x14ac:dyDescent="0.25">
      <c r="A258" s="673" t="s">
        <v>544</v>
      </c>
      <c r="B258" s="674" t="s">
        <v>1003</v>
      </c>
      <c r="C258" s="283"/>
      <c r="D258" s="283"/>
      <c r="E258" s="687"/>
      <c r="F258" s="295"/>
      <c r="G258" s="295"/>
      <c r="H258" s="295"/>
      <c r="I258" s="295"/>
      <c r="J258" s="295"/>
      <c r="K258" s="295"/>
      <c r="L258" s="295"/>
      <c r="M258" s="295"/>
      <c r="N258" s="295"/>
      <c r="O258" s="295"/>
      <c r="P258" s="295"/>
      <c r="Q258" s="295"/>
      <c r="R258" s="295"/>
      <c r="S258" s="295"/>
      <c r="T258" s="295"/>
      <c r="U258" s="295"/>
      <c r="V258" s="295"/>
      <c r="W258" s="295"/>
      <c r="X258" s="295"/>
      <c r="Y258" s="295"/>
      <c r="Z258" s="285"/>
      <c r="AA258" s="294"/>
      <c r="AB258" s="294"/>
      <c r="AC258" s="294"/>
      <c r="AD258" s="294"/>
      <c r="AE258" s="283"/>
      <c r="AF258" s="283"/>
      <c r="AG258" s="685"/>
    </row>
    <row r="259" spans="1:33" x14ac:dyDescent="0.25">
      <c r="A259" s="673" t="s">
        <v>544</v>
      </c>
      <c r="B259" s="674" t="s">
        <v>1004</v>
      </c>
      <c r="C259" s="283"/>
      <c r="D259" s="283"/>
      <c r="E259" s="687"/>
      <c r="F259" s="295"/>
      <c r="G259" s="295"/>
      <c r="H259" s="295"/>
      <c r="I259" s="295"/>
      <c r="J259" s="295"/>
      <c r="K259" s="295"/>
      <c r="L259" s="295"/>
      <c r="M259" s="295"/>
      <c r="N259" s="295"/>
      <c r="O259" s="295"/>
      <c r="P259" s="295"/>
      <c r="Q259" s="295"/>
      <c r="R259" s="295"/>
      <c r="S259" s="295"/>
      <c r="T259" s="295"/>
      <c r="U259" s="295"/>
      <c r="V259" s="295"/>
      <c r="W259" s="295"/>
      <c r="X259" s="295"/>
      <c r="Y259" s="295"/>
      <c r="Z259" s="295"/>
      <c r="AA259" s="285"/>
      <c r="AB259" s="294"/>
      <c r="AC259" s="294"/>
      <c r="AD259" s="294"/>
      <c r="AE259" s="283"/>
      <c r="AF259" s="283"/>
      <c r="AG259" s="685"/>
    </row>
    <row r="260" spans="1:33" x14ac:dyDescent="0.25">
      <c r="A260" s="673" t="s">
        <v>544</v>
      </c>
      <c r="B260" s="674" t="s">
        <v>1005</v>
      </c>
      <c r="C260" s="283"/>
      <c r="D260" s="283"/>
      <c r="E260" s="687"/>
      <c r="F260" s="295"/>
      <c r="G260" s="295"/>
      <c r="H260" s="295"/>
      <c r="I260" s="295"/>
      <c r="J260" s="295"/>
      <c r="K260" s="295"/>
      <c r="L260" s="295"/>
      <c r="M260" s="295"/>
      <c r="N260" s="295"/>
      <c r="O260" s="295"/>
      <c r="P260" s="295"/>
      <c r="Q260" s="295"/>
      <c r="R260" s="295"/>
      <c r="S260" s="295"/>
      <c r="T260" s="295"/>
      <c r="U260" s="295"/>
      <c r="V260" s="295"/>
      <c r="W260" s="295"/>
      <c r="X260" s="295"/>
      <c r="Y260" s="295"/>
      <c r="Z260" s="295"/>
      <c r="AA260" s="295"/>
      <c r="AB260" s="285"/>
      <c r="AC260" s="294"/>
      <c r="AD260" s="294"/>
      <c r="AE260" s="283"/>
      <c r="AF260" s="283"/>
      <c r="AG260" s="685"/>
    </row>
    <row r="261" spans="1:33" x14ac:dyDescent="0.25">
      <c r="A261" s="673" t="s">
        <v>544</v>
      </c>
      <c r="B261" s="674" t="s">
        <v>1006</v>
      </c>
      <c r="C261" s="283"/>
      <c r="D261" s="283"/>
      <c r="E261" s="687"/>
      <c r="F261" s="295"/>
      <c r="G261" s="295"/>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285"/>
      <c r="AD261" s="294"/>
      <c r="AE261" s="283"/>
      <c r="AF261" s="283"/>
      <c r="AG261" s="685"/>
    </row>
    <row r="262" spans="1:33" x14ac:dyDescent="0.25">
      <c r="A262" s="673" t="s">
        <v>544</v>
      </c>
      <c r="B262" s="674" t="s">
        <v>1007</v>
      </c>
      <c r="C262" s="283"/>
      <c r="D262" s="283"/>
      <c r="E262" s="687"/>
      <c r="F262" s="295"/>
      <c r="G262" s="295"/>
      <c r="H262" s="295"/>
      <c r="I262" s="295"/>
      <c r="J262" s="295"/>
      <c r="K262" s="295"/>
      <c r="L262" s="295"/>
      <c r="M262" s="295"/>
      <c r="N262" s="295"/>
      <c r="O262" s="295"/>
      <c r="P262" s="295"/>
      <c r="Q262" s="295"/>
      <c r="R262" s="295"/>
      <c r="S262" s="295"/>
      <c r="T262" s="295"/>
      <c r="U262" s="295"/>
      <c r="V262" s="295"/>
      <c r="W262" s="295"/>
      <c r="X262" s="295"/>
      <c r="Y262" s="295"/>
      <c r="Z262" s="295"/>
      <c r="AA262" s="295"/>
      <c r="AB262" s="295"/>
      <c r="AC262" s="295"/>
      <c r="AD262" s="285"/>
      <c r="AE262" s="283"/>
      <c r="AF262" s="283"/>
      <c r="AG262" s="685"/>
    </row>
    <row r="263" spans="1:33" ht="13" x14ac:dyDescent="0.3">
      <c r="A263" s="677"/>
      <c r="B263" s="678" t="s">
        <v>271</v>
      </c>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row>
    <row r="264" spans="1:33" x14ac:dyDescent="0.25">
      <c r="C264" s="689"/>
    </row>
    <row r="267" spans="1:33" ht="13" x14ac:dyDescent="0.3">
      <c r="B267" s="668" t="s">
        <v>260</v>
      </c>
      <c r="F267" s="669" t="s">
        <v>10</v>
      </c>
    </row>
    <row r="268" spans="1:33" ht="26.15" customHeight="1" x14ac:dyDescent="0.35">
      <c r="A268" s="670"/>
      <c r="B268" s="683" t="s">
        <v>418</v>
      </c>
      <c r="C268" s="1780" t="s">
        <v>526</v>
      </c>
      <c r="D268" s="1780" t="s">
        <v>527</v>
      </c>
      <c r="E268" s="1780" t="s">
        <v>598</v>
      </c>
      <c r="F268" s="1782" t="s">
        <v>599</v>
      </c>
      <c r="G268" s="1783"/>
      <c r="H268" s="1783"/>
      <c r="I268" s="1783"/>
      <c r="J268" s="1783"/>
      <c r="K268" s="1783"/>
      <c r="L268" s="1783"/>
      <c r="M268" s="1783"/>
      <c r="N268" s="1783"/>
      <c r="O268" s="1783"/>
      <c r="P268" s="1783"/>
      <c r="Q268" s="1783"/>
      <c r="R268" s="1783"/>
      <c r="S268" s="1783"/>
      <c r="T268" s="1783"/>
      <c r="U268" s="1783"/>
      <c r="V268" s="1783"/>
      <c r="W268" s="1783"/>
      <c r="X268" s="1783"/>
      <c r="Y268" s="1783"/>
      <c r="Z268" s="1783"/>
      <c r="AA268" s="1783"/>
      <c r="AB268" s="1783"/>
      <c r="AC268" s="1783"/>
      <c r="AD268" s="1784"/>
      <c r="AE268" s="671" t="s">
        <v>549</v>
      </c>
      <c r="AF268" s="671" t="s">
        <v>542</v>
      </c>
      <c r="AG268" s="671" t="s">
        <v>550</v>
      </c>
    </row>
    <row r="269" spans="1:33" ht="12.9" customHeight="1" x14ac:dyDescent="0.25">
      <c r="A269" s="670"/>
      <c r="B269" s="683"/>
      <c r="C269" s="1781"/>
      <c r="D269" s="1781"/>
      <c r="E269" s="1781"/>
      <c r="F269" s="672" t="s">
        <v>528</v>
      </c>
      <c r="G269" s="672" t="s">
        <v>529</v>
      </c>
      <c r="H269" s="672" t="s">
        <v>530</v>
      </c>
      <c r="I269" s="672" t="s">
        <v>531</v>
      </c>
      <c r="J269" s="672" t="s">
        <v>532</v>
      </c>
      <c r="K269" s="672" t="s">
        <v>533</v>
      </c>
      <c r="L269" s="672" t="s">
        <v>534</v>
      </c>
      <c r="M269" s="672" t="s">
        <v>535</v>
      </c>
      <c r="N269" s="672" t="s">
        <v>536</v>
      </c>
      <c r="O269" s="672" t="s">
        <v>537</v>
      </c>
      <c r="P269" s="672" t="s">
        <v>538</v>
      </c>
      <c r="Q269" s="672" t="s">
        <v>539</v>
      </c>
      <c r="R269" s="672" t="s">
        <v>540</v>
      </c>
      <c r="S269" s="672" t="s">
        <v>541</v>
      </c>
      <c r="T269" s="672" t="s">
        <v>326</v>
      </c>
      <c r="U269" s="672" t="s">
        <v>517</v>
      </c>
      <c r="V269" s="672" t="s">
        <v>518</v>
      </c>
      <c r="W269" s="672" t="s">
        <v>519</v>
      </c>
      <c r="X269" s="672" t="s">
        <v>520</v>
      </c>
      <c r="Y269" s="672" t="s">
        <v>521</v>
      </c>
      <c r="Z269" s="672" t="s">
        <v>940</v>
      </c>
      <c r="AA269" s="672" t="s">
        <v>941</v>
      </c>
      <c r="AB269" s="672" t="s">
        <v>945</v>
      </c>
      <c r="AC269" s="672" t="s">
        <v>942</v>
      </c>
      <c r="AD269" s="672" t="s">
        <v>944</v>
      </c>
      <c r="AE269" s="671"/>
      <c r="AF269" s="671"/>
      <c r="AG269" s="671"/>
    </row>
    <row r="270" spans="1:33" x14ac:dyDescent="0.25">
      <c r="A270" s="673" t="s">
        <v>543</v>
      </c>
      <c r="B270" s="674">
        <v>2005</v>
      </c>
      <c r="C270" s="673"/>
      <c r="D270" s="673"/>
      <c r="E270" s="68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685"/>
      <c r="AF270" s="685"/>
      <c r="AG270" s="685"/>
    </row>
    <row r="271" spans="1:33" x14ac:dyDescent="0.25">
      <c r="A271" s="673" t="s">
        <v>544</v>
      </c>
      <c r="B271" s="674" t="s">
        <v>528</v>
      </c>
      <c r="C271" s="673"/>
      <c r="D271" s="673"/>
      <c r="E271" s="684"/>
      <c r="F271" s="285"/>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685"/>
      <c r="AF271" s="685"/>
      <c r="AG271" s="685"/>
    </row>
    <row r="272" spans="1:33" x14ac:dyDescent="0.25">
      <c r="A272" s="673" t="s">
        <v>544</v>
      </c>
      <c r="B272" s="674" t="s">
        <v>529</v>
      </c>
      <c r="C272" s="673"/>
      <c r="D272" s="673"/>
      <c r="E272" s="684"/>
      <c r="F272" s="295"/>
      <c r="G272" s="285"/>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685"/>
      <c r="AF272" s="685"/>
      <c r="AG272" s="685"/>
    </row>
    <row r="273" spans="1:33" x14ac:dyDescent="0.25">
      <c r="A273" s="673" t="s">
        <v>544</v>
      </c>
      <c r="B273" s="674" t="s">
        <v>530</v>
      </c>
      <c r="C273" s="673"/>
      <c r="D273" s="673"/>
      <c r="E273" s="684"/>
      <c r="F273" s="295"/>
      <c r="G273" s="295"/>
      <c r="H273" s="285"/>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685"/>
      <c r="AF273" s="685"/>
      <c r="AG273" s="685"/>
    </row>
    <row r="274" spans="1:33" x14ac:dyDescent="0.25">
      <c r="A274" s="673" t="s">
        <v>544</v>
      </c>
      <c r="B274" s="674" t="s">
        <v>531</v>
      </c>
      <c r="C274" s="673"/>
      <c r="D274" s="673"/>
      <c r="E274" s="684"/>
      <c r="F274" s="295"/>
      <c r="G274" s="295"/>
      <c r="H274" s="295"/>
      <c r="I274" s="285"/>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685"/>
      <c r="AF274" s="685"/>
      <c r="AG274" s="685"/>
    </row>
    <row r="275" spans="1:33" x14ac:dyDescent="0.25">
      <c r="A275" s="673" t="s">
        <v>544</v>
      </c>
      <c r="B275" s="674" t="s">
        <v>532</v>
      </c>
      <c r="C275" s="673"/>
      <c r="D275" s="673"/>
      <c r="E275" s="684"/>
      <c r="F275" s="295"/>
      <c r="G275" s="295"/>
      <c r="H275" s="295"/>
      <c r="I275" s="295"/>
      <c r="J275" s="285"/>
      <c r="K275" s="294"/>
      <c r="L275" s="294"/>
      <c r="M275" s="294"/>
      <c r="N275" s="294"/>
      <c r="O275" s="294"/>
      <c r="P275" s="294"/>
      <c r="Q275" s="294"/>
      <c r="R275" s="294"/>
      <c r="S275" s="294"/>
      <c r="T275" s="294"/>
      <c r="U275" s="294"/>
      <c r="V275" s="294"/>
      <c r="W275" s="294"/>
      <c r="X275" s="294"/>
      <c r="Y275" s="294"/>
      <c r="Z275" s="294"/>
      <c r="AA275" s="294"/>
      <c r="AB275" s="294"/>
      <c r="AC275" s="294"/>
      <c r="AD275" s="294"/>
      <c r="AE275" s="685"/>
      <c r="AF275" s="685"/>
      <c r="AG275" s="685"/>
    </row>
    <row r="276" spans="1:33" x14ac:dyDescent="0.25">
      <c r="A276" s="673" t="s">
        <v>544</v>
      </c>
      <c r="B276" s="674" t="s">
        <v>533</v>
      </c>
      <c r="C276" s="673"/>
      <c r="D276" s="673"/>
      <c r="E276" s="684"/>
      <c r="F276" s="295"/>
      <c r="G276" s="295"/>
      <c r="H276" s="295"/>
      <c r="I276" s="295"/>
      <c r="J276" s="295"/>
      <c r="K276" s="285"/>
      <c r="L276" s="294"/>
      <c r="M276" s="294"/>
      <c r="N276" s="294"/>
      <c r="O276" s="294"/>
      <c r="P276" s="294"/>
      <c r="Q276" s="294"/>
      <c r="R276" s="294"/>
      <c r="S276" s="294"/>
      <c r="T276" s="294"/>
      <c r="U276" s="294"/>
      <c r="V276" s="294"/>
      <c r="W276" s="294"/>
      <c r="X276" s="294"/>
      <c r="Y276" s="294"/>
      <c r="Z276" s="294"/>
      <c r="AA276" s="294"/>
      <c r="AB276" s="294"/>
      <c r="AC276" s="294"/>
      <c r="AD276" s="294"/>
      <c r="AE276" s="685"/>
      <c r="AF276" s="685"/>
      <c r="AG276" s="685"/>
    </row>
    <row r="277" spans="1:33" x14ac:dyDescent="0.25">
      <c r="A277" s="673" t="s">
        <v>544</v>
      </c>
      <c r="B277" s="674" t="s">
        <v>534</v>
      </c>
      <c r="C277" s="673"/>
      <c r="D277" s="673"/>
      <c r="E277" s="684"/>
      <c r="F277" s="295"/>
      <c r="G277" s="295"/>
      <c r="H277" s="295"/>
      <c r="I277" s="295"/>
      <c r="J277" s="295"/>
      <c r="K277" s="295"/>
      <c r="L277" s="285"/>
      <c r="M277" s="294"/>
      <c r="N277" s="294"/>
      <c r="O277" s="294"/>
      <c r="P277" s="294"/>
      <c r="Q277" s="294"/>
      <c r="R277" s="294"/>
      <c r="S277" s="294"/>
      <c r="T277" s="294"/>
      <c r="U277" s="294"/>
      <c r="V277" s="294"/>
      <c r="W277" s="294"/>
      <c r="X277" s="294"/>
      <c r="Y277" s="294"/>
      <c r="Z277" s="294"/>
      <c r="AA277" s="294"/>
      <c r="AB277" s="294"/>
      <c r="AC277" s="294"/>
      <c r="AD277" s="294"/>
      <c r="AE277" s="685"/>
      <c r="AF277" s="685"/>
      <c r="AG277" s="685"/>
    </row>
    <row r="278" spans="1:33" x14ac:dyDescent="0.25">
      <c r="A278" s="673" t="s">
        <v>544</v>
      </c>
      <c r="B278" s="674" t="s">
        <v>535</v>
      </c>
      <c r="C278" s="673"/>
      <c r="D278" s="673"/>
      <c r="E278" s="684"/>
      <c r="F278" s="295"/>
      <c r="G278" s="295"/>
      <c r="H278" s="295"/>
      <c r="I278" s="295"/>
      <c r="J278" s="295"/>
      <c r="K278" s="295"/>
      <c r="L278" s="295"/>
      <c r="M278" s="285"/>
      <c r="N278" s="294"/>
      <c r="O278" s="294"/>
      <c r="P278" s="294"/>
      <c r="Q278" s="294"/>
      <c r="R278" s="294"/>
      <c r="S278" s="294"/>
      <c r="T278" s="294"/>
      <c r="U278" s="294"/>
      <c r="V278" s="294"/>
      <c r="W278" s="294"/>
      <c r="X278" s="294"/>
      <c r="Y278" s="294"/>
      <c r="Z278" s="294"/>
      <c r="AA278" s="294"/>
      <c r="AB278" s="294"/>
      <c r="AC278" s="294"/>
      <c r="AD278" s="294"/>
      <c r="AE278" s="685"/>
      <c r="AF278" s="685"/>
      <c r="AG278" s="685"/>
    </row>
    <row r="279" spans="1:33" x14ac:dyDescent="0.25">
      <c r="A279" s="673" t="s">
        <v>544</v>
      </c>
      <c r="B279" s="674" t="s">
        <v>536</v>
      </c>
      <c r="C279" s="673"/>
      <c r="D279" s="673"/>
      <c r="E279" s="684"/>
      <c r="F279" s="295"/>
      <c r="G279" s="295"/>
      <c r="H279" s="295"/>
      <c r="I279" s="295"/>
      <c r="J279" s="295"/>
      <c r="K279" s="295"/>
      <c r="L279" s="295"/>
      <c r="M279" s="295"/>
      <c r="N279" s="285"/>
      <c r="O279" s="294"/>
      <c r="P279" s="294"/>
      <c r="Q279" s="294"/>
      <c r="R279" s="294"/>
      <c r="S279" s="294"/>
      <c r="T279" s="294"/>
      <c r="U279" s="294"/>
      <c r="V279" s="294"/>
      <c r="W279" s="294"/>
      <c r="X279" s="294"/>
      <c r="Y279" s="294"/>
      <c r="Z279" s="294"/>
      <c r="AA279" s="294"/>
      <c r="AB279" s="294"/>
      <c r="AC279" s="294"/>
      <c r="AD279" s="294"/>
      <c r="AE279" s="685"/>
      <c r="AF279" s="685"/>
      <c r="AG279" s="685"/>
    </row>
    <row r="280" spans="1:33" x14ac:dyDescent="0.25">
      <c r="A280" s="673" t="s">
        <v>544</v>
      </c>
      <c r="B280" s="674" t="s">
        <v>537</v>
      </c>
      <c r="C280" s="283"/>
      <c r="D280" s="673"/>
      <c r="E280" s="684"/>
      <c r="F280" s="295"/>
      <c r="G280" s="295"/>
      <c r="H280" s="295"/>
      <c r="I280" s="295"/>
      <c r="J280" s="295"/>
      <c r="K280" s="295"/>
      <c r="L280" s="295"/>
      <c r="M280" s="295"/>
      <c r="N280" s="295"/>
      <c r="O280" s="285"/>
      <c r="P280" s="294"/>
      <c r="Q280" s="294"/>
      <c r="R280" s="294"/>
      <c r="S280" s="294"/>
      <c r="T280" s="294"/>
      <c r="U280" s="294"/>
      <c r="V280" s="294"/>
      <c r="W280" s="294"/>
      <c r="X280" s="294"/>
      <c r="Y280" s="294"/>
      <c r="Z280" s="294"/>
      <c r="AA280" s="294"/>
      <c r="AB280" s="294"/>
      <c r="AC280" s="294"/>
      <c r="AD280" s="294"/>
      <c r="AE280" s="685"/>
      <c r="AF280" s="685"/>
      <c r="AG280" s="685"/>
    </row>
    <row r="281" spans="1:33" x14ac:dyDescent="0.25">
      <c r="A281" s="673" t="s">
        <v>544</v>
      </c>
      <c r="B281" s="674" t="s">
        <v>538</v>
      </c>
      <c r="C281" s="283"/>
      <c r="D281" s="673"/>
      <c r="E281" s="684"/>
      <c r="F281" s="295"/>
      <c r="G281" s="295"/>
      <c r="H281" s="295"/>
      <c r="I281" s="295"/>
      <c r="J281" s="295"/>
      <c r="K281" s="295"/>
      <c r="L281" s="295"/>
      <c r="M281" s="295"/>
      <c r="N281" s="295"/>
      <c r="O281" s="295"/>
      <c r="P281" s="285"/>
      <c r="Q281" s="294"/>
      <c r="R281" s="294"/>
      <c r="S281" s="294"/>
      <c r="T281" s="294"/>
      <c r="U281" s="294"/>
      <c r="V281" s="294"/>
      <c r="W281" s="294"/>
      <c r="X281" s="294"/>
      <c r="Y281" s="294"/>
      <c r="Z281" s="294"/>
      <c r="AA281" s="294"/>
      <c r="AB281" s="294"/>
      <c r="AC281" s="294"/>
      <c r="AD281" s="294"/>
      <c r="AE281" s="685"/>
      <c r="AF281" s="685"/>
      <c r="AG281" s="685"/>
    </row>
    <row r="282" spans="1:33" x14ac:dyDescent="0.25">
      <c r="A282" s="673" t="s">
        <v>544</v>
      </c>
      <c r="B282" s="674" t="s">
        <v>539</v>
      </c>
      <c r="C282" s="283"/>
      <c r="D282" s="283"/>
      <c r="E282" s="684"/>
      <c r="F282" s="295"/>
      <c r="G282" s="295"/>
      <c r="H282" s="295"/>
      <c r="I282" s="295"/>
      <c r="J282" s="295"/>
      <c r="K282" s="295"/>
      <c r="L282" s="295"/>
      <c r="M282" s="295"/>
      <c r="N282" s="295"/>
      <c r="O282" s="295"/>
      <c r="P282" s="295"/>
      <c r="Q282" s="285"/>
      <c r="R282" s="294"/>
      <c r="S282" s="294"/>
      <c r="T282" s="294"/>
      <c r="U282" s="294"/>
      <c r="V282" s="294"/>
      <c r="W282" s="294"/>
      <c r="X282" s="294"/>
      <c r="Y282" s="294"/>
      <c r="Z282" s="294"/>
      <c r="AA282" s="294"/>
      <c r="AB282" s="294"/>
      <c r="AC282" s="294"/>
      <c r="AD282" s="294"/>
      <c r="AE282" s="685"/>
      <c r="AF282" s="685"/>
      <c r="AG282" s="685"/>
    </row>
    <row r="283" spans="1:33" x14ac:dyDescent="0.25">
      <c r="A283" s="673" t="s">
        <v>544</v>
      </c>
      <c r="B283" s="674" t="s">
        <v>540</v>
      </c>
      <c r="C283" s="283"/>
      <c r="D283" s="283"/>
      <c r="E283" s="684"/>
      <c r="F283" s="295"/>
      <c r="G283" s="295"/>
      <c r="H283" s="295"/>
      <c r="I283" s="295"/>
      <c r="J283" s="295"/>
      <c r="K283" s="295"/>
      <c r="L283" s="295"/>
      <c r="M283" s="295"/>
      <c r="N283" s="295"/>
      <c r="O283" s="295"/>
      <c r="P283" s="295"/>
      <c r="Q283" s="295"/>
      <c r="R283" s="285"/>
      <c r="S283" s="294"/>
      <c r="T283" s="294"/>
      <c r="U283" s="294"/>
      <c r="V283" s="294"/>
      <c r="W283" s="294"/>
      <c r="X283" s="294"/>
      <c r="Y283" s="294"/>
      <c r="Z283" s="294"/>
      <c r="AA283" s="294"/>
      <c r="AB283" s="294"/>
      <c r="AC283" s="294"/>
      <c r="AD283" s="294"/>
      <c r="AE283" s="685"/>
      <c r="AF283" s="685"/>
      <c r="AG283" s="685"/>
    </row>
    <row r="284" spans="1:33" x14ac:dyDescent="0.25">
      <c r="A284" s="673" t="s">
        <v>544</v>
      </c>
      <c r="B284" s="674" t="s">
        <v>541</v>
      </c>
      <c r="C284" s="283"/>
      <c r="D284" s="283"/>
      <c r="E284" s="684"/>
      <c r="F284" s="295"/>
      <c r="G284" s="295"/>
      <c r="H284" s="295"/>
      <c r="I284" s="295"/>
      <c r="J284" s="295"/>
      <c r="K284" s="295"/>
      <c r="L284" s="295"/>
      <c r="M284" s="295"/>
      <c r="N284" s="295"/>
      <c r="O284" s="295"/>
      <c r="P284" s="295"/>
      <c r="Q284" s="295"/>
      <c r="R284" s="295"/>
      <c r="S284" s="285"/>
      <c r="T284" s="294"/>
      <c r="U284" s="294"/>
      <c r="V284" s="294"/>
      <c r="W284" s="294"/>
      <c r="X284" s="294"/>
      <c r="Y284" s="294"/>
      <c r="Z284" s="294"/>
      <c r="AA284" s="294"/>
      <c r="AB284" s="294"/>
      <c r="AC284" s="294"/>
      <c r="AD284" s="294"/>
      <c r="AE284" s="685"/>
      <c r="AF284" s="685"/>
      <c r="AG284" s="685"/>
    </row>
    <row r="285" spans="1:33" x14ac:dyDescent="0.25">
      <c r="A285" s="673" t="s">
        <v>544</v>
      </c>
      <c r="B285" s="674" t="s">
        <v>545</v>
      </c>
      <c r="C285" s="283"/>
      <c r="D285" s="283"/>
      <c r="E285" s="687"/>
      <c r="F285" s="295"/>
      <c r="G285" s="295"/>
      <c r="H285" s="295"/>
      <c r="I285" s="295"/>
      <c r="J285" s="295"/>
      <c r="K285" s="295"/>
      <c r="L285" s="295"/>
      <c r="M285" s="295"/>
      <c r="N285" s="295"/>
      <c r="O285" s="295"/>
      <c r="P285" s="295"/>
      <c r="Q285" s="295"/>
      <c r="R285" s="295"/>
      <c r="S285" s="295"/>
      <c r="T285" s="285"/>
      <c r="U285" s="294"/>
      <c r="V285" s="294"/>
      <c r="W285" s="294"/>
      <c r="X285" s="294"/>
      <c r="Y285" s="294"/>
      <c r="Z285" s="294"/>
      <c r="AA285" s="294"/>
      <c r="AB285" s="294"/>
      <c r="AC285" s="294"/>
      <c r="AD285" s="294"/>
      <c r="AE285" s="685"/>
      <c r="AF285" s="685"/>
      <c r="AG285" s="685"/>
    </row>
    <row r="286" spans="1:33" x14ac:dyDescent="0.25">
      <c r="A286" s="673" t="s">
        <v>544</v>
      </c>
      <c r="B286" s="674" t="s">
        <v>546</v>
      </c>
      <c r="C286" s="283"/>
      <c r="D286" s="283"/>
      <c r="E286" s="687"/>
      <c r="F286" s="295"/>
      <c r="G286" s="295"/>
      <c r="H286" s="295"/>
      <c r="I286" s="295"/>
      <c r="J286" s="295"/>
      <c r="K286" s="295"/>
      <c r="L286" s="295"/>
      <c r="M286" s="295"/>
      <c r="N286" s="295"/>
      <c r="O286" s="295"/>
      <c r="P286" s="295"/>
      <c r="Q286" s="295"/>
      <c r="R286" s="295"/>
      <c r="S286" s="295"/>
      <c r="T286" s="295"/>
      <c r="U286" s="285"/>
      <c r="V286" s="294"/>
      <c r="W286" s="294"/>
      <c r="X286" s="294"/>
      <c r="Y286" s="294"/>
      <c r="Z286" s="294"/>
      <c r="AA286" s="294"/>
      <c r="AB286" s="294"/>
      <c r="AC286" s="294"/>
      <c r="AD286" s="294"/>
      <c r="AE286" s="685"/>
      <c r="AF286" s="685"/>
      <c r="AG286" s="685"/>
    </row>
    <row r="287" spans="1:33" x14ac:dyDescent="0.25">
      <c r="A287" s="673" t="s">
        <v>544</v>
      </c>
      <c r="B287" s="674" t="s">
        <v>547</v>
      </c>
      <c r="C287" s="283"/>
      <c r="D287" s="283"/>
      <c r="E287" s="687"/>
      <c r="F287" s="295"/>
      <c r="G287" s="295"/>
      <c r="H287" s="295"/>
      <c r="I287" s="295"/>
      <c r="J287" s="295"/>
      <c r="K287" s="295"/>
      <c r="L287" s="295"/>
      <c r="M287" s="295"/>
      <c r="N287" s="295"/>
      <c r="O287" s="295"/>
      <c r="P287" s="295"/>
      <c r="Q287" s="295"/>
      <c r="R287" s="295"/>
      <c r="S287" s="295"/>
      <c r="T287" s="295"/>
      <c r="U287" s="295"/>
      <c r="V287" s="285"/>
      <c r="W287" s="294"/>
      <c r="X287" s="294"/>
      <c r="Y287" s="294"/>
      <c r="Z287" s="294"/>
      <c r="AA287" s="294"/>
      <c r="AB287" s="294"/>
      <c r="AC287" s="294"/>
      <c r="AD287" s="294"/>
      <c r="AE287" s="685"/>
      <c r="AF287" s="685"/>
      <c r="AG287" s="685"/>
    </row>
    <row r="288" spans="1:33" x14ac:dyDescent="0.25">
      <c r="A288" s="673" t="s">
        <v>544</v>
      </c>
      <c r="B288" s="674" t="s">
        <v>557</v>
      </c>
      <c r="C288" s="283"/>
      <c r="D288" s="283"/>
      <c r="E288" s="687"/>
      <c r="F288" s="295"/>
      <c r="G288" s="295"/>
      <c r="H288" s="295"/>
      <c r="I288" s="295"/>
      <c r="J288" s="295"/>
      <c r="K288" s="295"/>
      <c r="L288" s="295"/>
      <c r="M288" s="295"/>
      <c r="N288" s="295"/>
      <c r="O288" s="295"/>
      <c r="P288" s="295"/>
      <c r="Q288" s="295"/>
      <c r="R288" s="295"/>
      <c r="S288" s="295"/>
      <c r="T288" s="295"/>
      <c r="U288" s="295"/>
      <c r="V288" s="295"/>
      <c r="W288" s="285"/>
      <c r="X288" s="294"/>
      <c r="Y288" s="294"/>
      <c r="Z288" s="294"/>
      <c r="AA288" s="294"/>
      <c r="AB288" s="294"/>
      <c r="AC288" s="294"/>
      <c r="AD288" s="294"/>
      <c r="AE288" s="685"/>
      <c r="AF288" s="685"/>
      <c r="AG288" s="685"/>
    </row>
    <row r="289" spans="1:33" x14ac:dyDescent="0.25">
      <c r="A289" s="673" t="s">
        <v>544</v>
      </c>
      <c r="B289" s="674" t="s">
        <v>558</v>
      </c>
      <c r="C289" s="283"/>
      <c r="D289" s="283"/>
      <c r="E289" s="687"/>
      <c r="F289" s="295"/>
      <c r="G289" s="295"/>
      <c r="H289" s="295"/>
      <c r="I289" s="295"/>
      <c r="J289" s="295"/>
      <c r="K289" s="295"/>
      <c r="L289" s="295"/>
      <c r="M289" s="295"/>
      <c r="N289" s="295"/>
      <c r="O289" s="295"/>
      <c r="P289" s="295"/>
      <c r="Q289" s="295"/>
      <c r="R289" s="295"/>
      <c r="S289" s="295"/>
      <c r="T289" s="295"/>
      <c r="U289" s="295"/>
      <c r="V289" s="295"/>
      <c r="W289" s="295"/>
      <c r="X289" s="285"/>
      <c r="Y289" s="294"/>
      <c r="Z289" s="294"/>
      <c r="AA289" s="294"/>
      <c r="AB289" s="294"/>
      <c r="AC289" s="294"/>
      <c r="AD289" s="294"/>
      <c r="AE289" s="685"/>
      <c r="AF289" s="685"/>
      <c r="AG289" s="685"/>
    </row>
    <row r="290" spans="1:33" x14ac:dyDescent="0.25">
      <c r="A290" s="673" t="s">
        <v>544</v>
      </c>
      <c r="B290" s="674" t="s">
        <v>559</v>
      </c>
      <c r="C290" s="283"/>
      <c r="D290" s="283"/>
      <c r="E290" s="687"/>
      <c r="F290" s="295"/>
      <c r="G290" s="295"/>
      <c r="H290" s="295"/>
      <c r="I290" s="295"/>
      <c r="J290" s="295"/>
      <c r="K290" s="295"/>
      <c r="L290" s="295"/>
      <c r="M290" s="295"/>
      <c r="N290" s="295"/>
      <c r="O290" s="295"/>
      <c r="P290" s="295"/>
      <c r="Q290" s="295"/>
      <c r="R290" s="295"/>
      <c r="S290" s="295"/>
      <c r="T290" s="295"/>
      <c r="U290" s="295"/>
      <c r="V290" s="295"/>
      <c r="W290" s="295"/>
      <c r="X290" s="295"/>
      <c r="Y290" s="285"/>
      <c r="Z290" s="685"/>
      <c r="AA290" s="685"/>
      <c r="AB290" s="685"/>
      <c r="AC290" s="685"/>
      <c r="AD290" s="685"/>
      <c r="AE290" s="685"/>
      <c r="AF290" s="685"/>
      <c r="AG290" s="685"/>
    </row>
    <row r="291" spans="1:33" x14ac:dyDescent="0.25">
      <c r="A291" s="673" t="s">
        <v>544</v>
      </c>
      <c r="B291" s="674" t="s">
        <v>1003</v>
      </c>
      <c r="C291" s="283"/>
      <c r="D291" s="283"/>
      <c r="E291" s="687"/>
      <c r="F291" s="295"/>
      <c r="G291" s="295"/>
      <c r="H291" s="295"/>
      <c r="I291" s="295"/>
      <c r="J291" s="295"/>
      <c r="K291" s="295"/>
      <c r="L291" s="295"/>
      <c r="M291" s="295"/>
      <c r="N291" s="295"/>
      <c r="O291" s="295"/>
      <c r="P291" s="295"/>
      <c r="Q291" s="295"/>
      <c r="R291" s="295"/>
      <c r="S291" s="295"/>
      <c r="T291" s="295"/>
      <c r="U291" s="295"/>
      <c r="V291" s="295"/>
      <c r="W291" s="295"/>
      <c r="X291" s="295"/>
      <c r="Y291" s="295"/>
      <c r="Z291" s="285"/>
      <c r="AA291" s="294"/>
      <c r="AB291" s="294"/>
      <c r="AC291" s="294"/>
      <c r="AD291" s="294"/>
      <c r="AE291" s="283"/>
      <c r="AF291" s="283"/>
      <c r="AG291" s="685"/>
    </row>
    <row r="292" spans="1:33" x14ac:dyDescent="0.25">
      <c r="A292" s="673" t="s">
        <v>544</v>
      </c>
      <c r="B292" s="674" t="s">
        <v>1004</v>
      </c>
      <c r="C292" s="283"/>
      <c r="D292" s="283"/>
      <c r="E292" s="687"/>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85"/>
      <c r="AB292" s="294"/>
      <c r="AC292" s="294"/>
      <c r="AD292" s="294"/>
      <c r="AE292" s="283"/>
      <c r="AF292" s="283"/>
      <c r="AG292" s="685"/>
    </row>
    <row r="293" spans="1:33" x14ac:dyDescent="0.25">
      <c r="A293" s="673" t="s">
        <v>544</v>
      </c>
      <c r="B293" s="674" t="s">
        <v>1005</v>
      </c>
      <c r="C293" s="283"/>
      <c r="D293" s="283"/>
      <c r="E293" s="687"/>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85"/>
      <c r="AC293" s="294"/>
      <c r="AD293" s="294"/>
      <c r="AE293" s="283"/>
      <c r="AF293" s="283"/>
      <c r="AG293" s="685"/>
    </row>
    <row r="294" spans="1:33" x14ac:dyDescent="0.25">
      <c r="A294" s="673" t="s">
        <v>544</v>
      </c>
      <c r="B294" s="674" t="s">
        <v>1006</v>
      </c>
      <c r="C294" s="283"/>
      <c r="D294" s="283"/>
      <c r="E294" s="687"/>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85"/>
      <c r="AD294" s="294"/>
      <c r="AE294" s="283"/>
      <c r="AF294" s="283"/>
      <c r="AG294" s="685"/>
    </row>
    <row r="295" spans="1:33" x14ac:dyDescent="0.25">
      <c r="A295" s="673" t="s">
        <v>544</v>
      </c>
      <c r="B295" s="674" t="s">
        <v>1007</v>
      </c>
      <c r="C295" s="283"/>
      <c r="D295" s="283"/>
      <c r="E295" s="687"/>
      <c r="F295" s="295"/>
      <c r="G295" s="295"/>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c r="AD295" s="285"/>
      <c r="AE295" s="283"/>
      <c r="AF295" s="283"/>
      <c r="AG295" s="685"/>
    </row>
    <row r="296" spans="1:33" ht="13" x14ac:dyDescent="0.3">
      <c r="A296" s="677"/>
      <c r="B296" s="678" t="s">
        <v>271</v>
      </c>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row>
    <row r="297" spans="1:33" x14ac:dyDescent="0.25">
      <c r="C297" s="689"/>
    </row>
    <row r="300" spans="1:33" ht="13" x14ac:dyDescent="0.3">
      <c r="B300" s="668" t="s">
        <v>271</v>
      </c>
      <c r="F300" s="669" t="s">
        <v>10</v>
      </c>
    </row>
    <row r="301" spans="1:33" ht="26.15" customHeight="1" x14ac:dyDescent="0.35">
      <c r="A301" s="670"/>
      <c r="B301" s="683" t="s">
        <v>418</v>
      </c>
      <c r="C301" s="1780" t="s">
        <v>526</v>
      </c>
      <c r="D301" s="1780" t="s">
        <v>527</v>
      </c>
      <c r="E301" s="1780" t="s">
        <v>598</v>
      </c>
      <c r="F301" s="1782" t="s">
        <v>599</v>
      </c>
      <c r="G301" s="1783"/>
      <c r="H301" s="1783"/>
      <c r="I301" s="1783"/>
      <c r="J301" s="1783"/>
      <c r="K301" s="1783"/>
      <c r="L301" s="1783"/>
      <c r="M301" s="1783"/>
      <c r="N301" s="1783"/>
      <c r="O301" s="1783"/>
      <c r="P301" s="1783"/>
      <c r="Q301" s="1783"/>
      <c r="R301" s="1783"/>
      <c r="S301" s="1783"/>
      <c r="T301" s="1783"/>
      <c r="U301" s="1783"/>
      <c r="V301" s="1783"/>
      <c r="W301" s="1783"/>
      <c r="X301" s="1783"/>
      <c r="Y301" s="1783"/>
      <c r="Z301" s="1783"/>
      <c r="AA301" s="1783"/>
      <c r="AB301" s="1783"/>
      <c r="AC301" s="1783"/>
      <c r="AD301" s="1784"/>
      <c r="AE301" s="671" t="s">
        <v>549</v>
      </c>
      <c r="AF301" s="671" t="s">
        <v>542</v>
      </c>
      <c r="AG301" s="671" t="s">
        <v>550</v>
      </c>
    </row>
    <row r="302" spans="1:33" ht="12.9" customHeight="1" x14ac:dyDescent="0.25">
      <c r="A302" s="670"/>
      <c r="B302" s="683"/>
      <c r="C302" s="1781"/>
      <c r="D302" s="1781"/>
      <c r="E302" s="1781"/>
      <c r="F302" s="672" t="s">
        <v>528</v>
      </c>
      <c r="G302" s="672" t="s">
        <v>529</v>
      </c>
      <c r="H302" s="672" t="s">
        <v>530</v>
      </c>
      <c r="I302" s="672" t="s">
        <v>531</v>
      </c>
      <c r="J302" s="672" t="s">
        <v>532</v>
      </c>
      <c r="K302" s="672" t="s">
        <v>533</v>
      </c>
      <c r="L302" s="672" t="s">
        <v>534</v>
      </c>
      <c r="M302" s="672" t="s">
        <v>535</v>
      </c>
      <c r="N302" s="672" t="s">
        <v>536</v>
      </c>
      <c r="O302" s="672" t="s">
        <v>537</v>
      </c>
      <c r="P302" s="672" t="s">
        <v>538</v>
      </c>
      <c r="Q302" s="672" t="s">
        <v>539</v>
      </c>
      <c r="R302" s="672" t="s">
        <v>540</v>
      </c>
      <c r="S302" s="672" t="s">
        <v>541</v>
      </c>
      <c r="T302" s="672" t="s">
        <v>326</v>
      </c>
      <c r="U302" s="672" t="s">
        <v>517</v>
      </c>
      <c r="V302" s="672" t="s">
        <v>518</v>
      </c>
      <c r="W302" s="672" t="s">
        <v>519</v>
      </c>
      <c r="X302" s="672" t="s">
        <v>520</v>
      </c>
      <c r="Y302" s="672" t="s">
        <v>521</v>
      </c>
      <c r="Z302" s="672" t="s">
        <v>940</v>
      </c>
      <c r="AA302" s="672" t="s">
        <v>941</v>
      </c>
      <c r="AB302" s="672" t="s">
        <v>945</v>
      </c>
      <c r="AC302" s="672" t="s">
        <v>942</v>
      </c>
      <c r="AD302" s="672" t="s">
        <v>944</v>
      </c>
      <c r="AE302" s="671"/>
      <c r="AF302" s="671"/>
      <c r="AG302" s="671"/>
    </row>
    <row r="303" spans="1:33" x14ac:dyDescent="0.25">
      <c r="A303" s="673" t="s">
        <v>543</v>
      </c>
      <c r="B303" s="674">
        <v>2005</v>
      </c>
      <c r="C303" s="692"/>
      <c r="D303" s="692"/>
      <c r="E303" s="68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685"/>
      <c r="AF303" s="685"/>
      <c r="AG303" s="685"/>
    </row>
    <row r="304" spans="1:33" x14ac:dyDescent="0.25">
      <c r="A304" s="673" t="s">
        <v>544</v>
      </c>
      <c r="B304" s="674" t="s">
        <v>528</v>
      </c>
      <c r="C304" s="692"/>
      <c r="D304" s="692"/>
      <c r="E304" s="684"/>
      <c r="F304" s="285"/>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685"/>
      <c r="AF304" s="685"/>
      <c r="AG304" s="685"/>
    </row>
    <row r="305" spans="1:33" x14ac:dyDescent="0.25">
      <c r="A305" s="673" t="s">
        <v>544</v>
      </c>
      <c r="B305" s="674" t="s">
        <v>529</v>
      </c>
      <c r="C305" s="692"/>
      <c r="D305" s="692"/>
      <c r="E305" s="684"/>
      <c r="F305" s="295"/>
      <c r="G305" s="285"/>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685"/>
      <c r="AF305" s="685"/>
      <c r="AG305" s="685"/>
    </row>
    <row r="306" spans="1:33" x14ac:dyDescent="0.25">
      <c r="A306" s="673" t="s">
        <v>544</v>
      </c>
      <c r="B306" s="674" t="s">
        <v>530</v>
      </c>
      <c r="C306" s="692"/>
      <c r="D306" s="692"/>
      <c r="E306" s="684"/>
      <c r="F306" s="295"/>
      <c r="G306" s="295"/>
      <c r="H306" s="285"/>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685"/>
      <c r="AF306" s="685"/>
      <c r="AG306" s="685"/>
    </row>
    <row r="307" spans="1:33" x14ac:dyDescent="0.25">
      <c r="A307" s="673" t="s">
        <v>544</v>
      </c>
      <c r="B307" s="674" t="s">
        <v>531</v>
      </c>
      <c r="C307" s="692"/>
      <c r="D307" s="692"/>
      <c r="E307" s="684"/>
      <c r="F307" s="295"/>
      <c r="G307" s="295"/>
      <c r="H307" s="295"/>
      <c r="I307" s="285"/>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685"/>
      <c r="AF307" s="685"/>
      <c r="AG307" s="685"/>
    </row>
    <row r="308" spans="1:33" x14ac:dyDescent="0.25">
      <c r="A308" s="673" t="s">
        <v>544</v>
      </c>
      <c r="B308" s="674" t="s">
        <v>532</v>
      </c>
      <c r="C308" s="692"/>
      <c r="D308" s="692"/>
      <c r="E308" s="684"/>
      <c r="F308" s="295"/>
      <c r="G308" s="295"/>
      <c r="H308" s="295"/>
      <c r="I308" s="295"/>
      <c r="J308" s="285"/>
      <c r="K308" s="294"/>
      <c r="L308" s="294"/>
      <c r="M308" s="294"/>
      <c r="N308" s="294"/>
      <c r="O308" s="294"/>
      <c r="P308" s="294"/>
      <c r="Q308" s="294"/>
      <c r="R308" s="294"/>
      <c r="S308" s="294"/>
      <c r="T308" s="294"/>
      <c r="U308" s="294"/>
      <c r="V308" s="294"/>
      <c r="W308" s="294"/>
      <c r="X308" s="294"/>
      <c r="Y308" s="294"/>
      <c r="Z308" s="294"/>
      <c r="AA308" s="294"/>
      <c r="AB308" s="294"/>
      <c r="AC308" s="294"/>
      <c r="AD308" s="294"/>
      <c r="AE308" s="685"/>
      <c r="AF308" s="685"/>
      <c r="AG308" s="685"/>
    </row>
    <row r="309" spans="1:33" x14ac:dyDescent="0.25">
      <c r="A309" s="673" t="s">
        <v>544</v>
      </c>
      <c r="B309" s="674" t="s">
        <v>533</v>
      </c>
      <c r="C309" s="692"/>
      <c r="D309" s="692"/>
      <c r="E309" s="684"/>
      <c r="F309" s="295"/>
      <c r="G309" s="295"/>
      <c r="H309" s="295"/>
      <c r="I309" s="295"/>
      <c r="J309" s="295"/>
      <c r="K309" s="285"/>
      <c r="L309" s="294"/>
      <c r="M309" s="294"/>
      <c r="N309" s="294"/>
      <c r="O309" s="294"/>
      <c r="P309" s="294"/>
      <c r="Q309" s="294"/>
      <c r="R309" s="294"/>
      <c r="S309" s="294"/>
      <c r="T309" s="294"/>
      <c r="U309" s="294"/>
      <c r="V309" s="294"/>
      <c r="W309" s="294"/>
      <c r="X309" s="294"/>
      <c r="Y309" s="294"/>
      <c r="Z309" s="294"/>
      <c r="AA309" s="294"/>
      <c r="AB309" s="294"/>
      <c r="AC309" s="294"/>
      <c r="AD309" s="294"/>
      <c r="AE309" s="685"/>
      <c r="AF309" s="685"/>
      <c r="AG309" s="685"/>
    </row>
    <row r="310" spans="1:33" x14ac:dyDescent="0.25">
      <c r="A310" s="673" t="s">
        <v>544</v>
      </c>
      <c r="B310" s="674" t="s">
        <v>534</v>
      </c>
      <c r="C310" s="692"/>
      <c r="D310" s="692"/>
      <c r="E310" s="684"/>
      <c r="F310" s="295"/>
      <c r="G310" s="295"/>
      <c r="H310" s="295"/>
      <c r="I310" s="295"/>
      <c r="J310" s="295"/>
      <c r="K310" s="295"/>
      <c r="L310" s="285"/>
      <c r="M310" s="294"/>
      <c r="N310" s="294"/>
      <c r="O310" s="294"/>
      <c r="P310" s="294"/>
      <c r="Q310" s="294"/>
      <c r="R310" s="294"/>
      <c r="S310" s="294"/>
      <c r="T310" s="294"/>
      <c r="U310" s="294"/>
      <c r="V310" s="294"/>
      <c r="W310" s="294"/>
      <c r="X310" s="294"/>
      <c r="Y310" s="294"/>
      <c r="Z310" s="294"/>
      <c r="AA310" s="294"/>
      <c r="AB310" s="294"/>
      <c r="AC310" s="294"/>
      <c r="AD310" s="294"/>
      <c r="AE310" s="685"/>
      <c r="AF310" s="685"/>
      <c r="AG310" s="685"/>
    </row>
    <row r="311" spans="1:33" x14ac:dyDescent="0.25">
      <c r="A311" s="673" t="s">
        <v>544</v>
      </c>
      <c r="B311" s="674" t="s">
        <v>535</v>
      </c>
      <c r="C311" s="692"/>
      <c r="D311" s="692"/>
      <c r="E311" s="684"/>
      <c r="F311" s="295"/>
      <c r="G311" s="295"/>
      <c r="H311" s="295"/>
      <c r="I311" s="295"/>
      <c r="J311" s="295"/>
      <c r="K311" s="295"/>
      <c r="L311" s="295"/>
      <c r="M311" s="285"/>
      <c r="N311" s="294"/>
      <c r="O311" s="294"/>
      <c r="P311" s="294"/>
      <c r="Q311" s="294"/>
      <c r="R311" s="294"/>
      <c r="S311" s="294"/>
      <c r="T311" s="294"/>
      <c r="U311" s="294"/>
      <c r="V311" s="294"/>
      <c r="W311" s="294"/>
      <c r="X311" s="294"/>
      <c r="Y311" s="294"/>
      <c r="Z311" s="294"/>
      <c r="AA311" s="294"/>
      <c r="AB311" s="294"/>
      <c r="AC311" s="294"/>
      <c r="AD311" s="294"/>
      <c r="AE311" s="685"/>
      <c r="AF311" s="685"/>
      <c r="AG311" s="685"/>
    </row>
    <row r="312" spans="1:33" x14ac:dyDescent="0.25">
      <c r="A312" s="673" t="s">
        <v>544</v>
      </c>
      <c r="B312" s="674" t="s">
        <v>536</v>
      </c>
      <c r="C312" s="692"/>
      <c r="D312" s="692"/>
      <c r="E312" s="684"/>
      <c r="F312" s="295"/>
      <c r="G312" s="295"/>
      <c r="H312" s="295"/>
      <c r="I312" s="295"/>
      <c r="J312" s="295"/>
      <c r="K312" s="295"/>
      <c r="L312" s="295"/>
      <c r="M312" s="295"/>
      <c r="N312" s="285"/>
      <c r="O312" s="294"/>
      <c r="P312" s="294"/>
      <c r="Q312" s="294"/>
      <c r="R312" s="294"/>
      <c r="S312" s="294"/>
      <c r="T312" s="294"/>
      <c r="U312" s="294"/>
      <c r="V312" s="294"/>
      <c r="W312" s="294"/>
      <c r="X312" s="294"/>
      <c r="Y312" s="294"/>
      <c r="Z312" s="294"/>
      <c r="AA312" s="294"/>
      <c r="AB312" s="294"/>
      <c r="AC312" s="294"/>
      <c r="AD312" s="294"/>
      <c r="AE312" s="685"/>
      <c r="AF312" s="685"/>
      <c r="AG312" s="685"/>
    </row>
    <row r="313" spans="1:33" x14ac:dyDescent="0.25">
      <c r="A313" s="673" t="s">
        <v>544</v>
      </c>
      <c r="B313" s="674" t="s">
        <v>537</v>
      </c>
      <c r="C313" s="692"/>
      <c r="D313" s="692"/>
      <c r="E313" s="684"/>
      <c r="F313" s="295"/>
      <c r="G313" s="295"/>
      <c r="H313" s="295"/>
      <c r="I313" s="295"/>
      <c r="J313" s="295"/>
      <c r="K313" s="295"/>
      <c r="L313" s="295"/>
      <c r="M313" s="295"/>
      <c r="N313" s="295"/>
      <c r="O313" s="285"/>
      <c r="P313" s="294"/>
      <c r="Q313" s="294"/>
      <c r="R313" s="294"/>
      <c r="S313" s="294"/>
      <c r="T313" s="294"/>
      <c r="U313" s="294"/>
      <c r="V313" s="294"/>
      <c r="W313" s="294"/>
      <c r="X313" s="294"/>
      <c r="Y313" s="294"/>
      <c r="Z313" s="294"/>
      <c r="AA313" s="294"/>
      <c r="AB313" s="294"/>
      <c r="AC313" s="294"/>
      <c r="AD313" s="294"/>
      <c r="AE313" s="685"/>
      <c r="AF313" s="685"/>
      <c r="AG313" s="685"/>
    </row>
    <row r="314" spans="1:33" x14ac:dyDescent="0.25">
      <c r="A314" s="673" t="s">
        <v>544</v>
      </c>
      <c r="B314" s="674" t="s">
        <v>538</v>
      </c>
      <c r="C314" s="692"/>
      <c r="D314" s="692"/>
      <c r="E314" s="684"/>
      <c r="F314" s="295"/>
      <c r="G314" s="295"/>
      <c r="H314" s="295"/>
      <c r="I314" s="295"/>
      <c r="J314" s="295"/>
      <c r="K314" s="295"/>
      <c r="L314" s="295"/>
      <c r="M314" s="295"/>
      <c r="N314" s="295"/>
      <c r="O314" s="295"/>
      <c r="P314" s="285"/>
      <c r="Q314" s="294"/>
      <c r="R314" s="294"/>
      <c r="S314" s="294"/>
      <c r="T314" s="294"/>
      <c r="U314" s="294"/>
      <c r="V314" s="294"/>
      <c r="W314" s="294"/>
      <c r="X314" s="294"/>
      <c r="Y314" s="294"/>
      <c r="Z314" s="294"/>
      <c r="AA314" s="294"/>
      <c r="AB314" s="294"/>
      <c r="AC314" s="294"/>
      <c r="AD314" s="294"/>
      <c r="AE314" s="685"/>
      <c r="AF314" s="685"/>
      <c r="AG314" s="685"/>
    </row>
    <row r="315" spans="1:33" x14ac:dyDescent="0.25">
      <c r="A315" s="673" t="s">
        <v>544</v>
      </c>
      <c r="B315" s="674" t="s">
        <v>539</v>
      </c>
      <c r="C315" s="692"/>
      <c r="D315" s="692"/>
      <c r="E315" s="684"/>
      <c r="F315" s="295"/>
      <c r="G315" s="295"/>
      <c r="H315" s="295"/>
      <c r="I315" s="295"/>
      <c r="J315" s="295"/>
      <c r="K315" s="295"/>
      <c r="L315" s="295"/>
      <c r="M315" s="295"/>
      <c r="N315" s="295"/>
      <c r="O315" s="295"/>
      <c r="P315" s="295"/>
      <c r="Q315" s="285"/>
      <c r="R315" s="294"/>
      <c r="S315" s="294"/>
      <c r="T315" s="294"/>
      <c r="U315" s="294"/>
      <c r="V315" s="294"/>
      <c r="W315" s="294"/>
      <c r="X315" s="294"/>
      <c r="Y315" s="294"/>
      <c r="Z315" s="294"/>
      <c r="AA315" s="294"/>
      <c r="AB315" s="294"/>
      <c r="AC315" s="294"/>
      <c r="AD315" s="294"/>
      <c r="AE315" s="685"/>
      <c r="AF315" s="685"/>
      <c r="AG315" s="685"/>
    </row>
    <row r="316" spans="1:33" x14ac:dyDescent="0.25">
      <c r="A316" s="673" t="s">
        <v>544</v>
      </c>
      <c r="B316" s="674" t="s">
        <v>540</v>
      </c>
      <c r="C316" s="692"/>
      <c r="D316" s="692"/>
      <c r="E316" s="684"/>
      <c r="F316" s="295"/>
      <c r="G316" s="295"/>
      <c r="H316" s="295"/>
      <c r="I316" s="295"/>
      <c r="J316" s="295"/>
      <c r="K316" s="295"/>
      <c r="L316" s="295"/>
      <c r="M316" s="295"/>
      <c r="N316" s="295"/>
      <c r="O316" s="295"/>
      <c r="P316" s="295"/>
      <c r="Q316" s="295"/>
      <c r="R316" s="285"/>
      <c r="S316" s="294"/>
      <c r="T316" s="294"/>
      <c r="U316" s="294"/>
      <c r="V316" s="294"/>
      <c r="W316" s="294"/>
      <c r="X316" s="294"/>
      <c r="Y316" s="294"/>
      <c r="Z316" s="294"/>
      <c r="AA316" s="294"/>
      <c r="AB316" s="294"/>
      <c r="AC316" s="294"/>
      <c r="AD316" s="294"/>
      <c r="AE316" s="685"/>
      <c r="AF316" s="685"/>
      <c r="AG316" s="685"/>
    </row>
    <row r="317" spans="1:33" x14ac:dyDescent="0.25">
      <c r="A317" s="673" t="s">
        <v>544</v>
      </c>
      <c r="B317" s="674" t="s">
        <v>541</v>
      </c>
      <c r="C317" s="692"/>
      <c r="D317" s="692"/>
      <c r="E317" s="684"/>
      <c r="F317" s="295"/>
      <c r="G317" s="295"/>
      <c r="H317" s="295"/>
      <c r="I317" s="295"/>
      <c r="J317" s="295"/>
      <c r="K317" s="295"/>
      <c r="L317" s="295"/>
      <c r="M317" s="295"/>
      <c r="N317" s="295"/>
      <c r="O317" s="295"/>
      <c r="P317" s="295"/>
      <c r="Q317" s="295"/>
      <c r="R317" s="295"/>
      <c r="S317" s="285"/>
      <c r="T317" s="294"/>
      <c r="U317" s="294"/>
      <c r="V317" s="294"/>
      <c r="W317" s="294"/>
      <c r="X317" s="294"/>
      <c r="Y317" s="294"/>
      <c r="Z317" s="294"/>
      <c r="AA317" s="294"/>
      <c r="AB317" s="294"/>
      <c r="AC317" s="294"/>
      <c r="AD317" s="294"/>
      <c r="AE317" s="685"/>
      <c r="AF317" s="685"/>
      <c r="AG317" s="685"/>
    </row>
    <row r="318" spans="1:33" x14ac:dyDescent="0.25">
      <c r="A318" s="673" t="s">
        <v>544</v>
      </c>
      <c r="B318" s="674" t="s">
        <v>545</v>
      </c>
      <c r="C318" s="692"/>
      <c r="D318" s="692"/>
      <c r="E318" s="684"/>
      <c r="F318" s="295"/>
      <c r="G318" s="295"/>
      <c r="H318" s="295"/>
      <c r="I318" s="295"/>
      <c r="J318" s="295"/>
      <c r="K318" s="295"/>
      <c r="L318" s="295"/>
      <c r="M318" s="295"/>
      <c r="N318" s="295"/>
      <c r="O318" s="295"/>
      <c r="P318" s="295"/>
      <c r="Q318" s="295"/>
      <c r="R318" s="295"/>
      <c r="S318" s="295"/>
      <c r="T318" s="285"/>
      <c r="U318" s="294"/>
      <c r="V318" s="294"/>
      <c r="W318" s="294"/>
      <c r="X318" s="294"/>
      <c r="Y318" s="294"/>
      <c r="Z318" s="294"/>
      <c r="AA318" s="294"/>
      <c r="AB318" s="294"/>
      <c r="AC318" s="294"/>
      <c r="AD318" s="294"/>
      <c r="AE318" s="685"/>
      <c r="AF318" s="685"/>
      <c r="AG318" s="685"/>
    </row>
    <row r="319" spans="1:33" x14ac:dyDescent="0.25">
      <c r="A319" s="673" t="s">
        <v>544</v>
      </c>
      <c r="B319" s="674" t="s">
        <v>546</v>
      </c>
      <c r="C319" s="692"/>
      <c r="D319" s="692"/>
      <c r="E319" s="684"/>
      <c r="F319" s="295"/>
      <c r="G319" s="295"/>
      <c r="H319" s="295"/>
      <c r="I319" s="295"/>
      <c r="J319" s="295"/>
      <c r="K319" s="295"/>
      <c r="L319" s="295"/>
      <c r="M319" s="295"/>
      <c r="N319" s="295"/>
      <c r="O319" s="295"/>
      <c r="P319" s="295"/>
      <c r="Q319" s="295"/>
      <c r="R319" s="295"/>
      <c r="S319" s="295"/>
      <c r="T319" s="295"/>
      <c r="U319" s="285"/>
      <c r="V319" s="294"/>
      <c r="W319" s="294"/>
      <c r="X319" s="294"/>
      <c r="Y319" s="294"/>
      <c r="Z319" s="294"/>
      <c r="AA319" s="294"/>
      <c r="AB319" s="294"/>
      <c r="AC319" s="294"/>
      <c r="AD319" s="294"/>
      <c r="AE319" s="685"/>
      <c r="AF319" s="685"/>
      <c r="AG319" s="685"/>
    </row>
    <row r="320" spans="1:33" x14ac:dyDescent="0.25">
      <c r="A320" s="673" t="s">
        <v>544</v>
      </c>
      <c r="B320" s="674" t="s">
        <v>547</v>
      </c>
      <c r="C320" s="692"/>
      <c r="D320" s="692"/>
      <c r="E320" s="684"/>
      <c r="F320" s="295"/>
      <c r="G320" s="295"/>
      <c r="H320" s="295"/>
      <c r="I320" s="295"/>
      <c r="J320" s="295"/>
      <c r="K320" s="295"/>
      <c r="L320" s="295"/>
      <c r="M320" s="295"/>
      <c r="N320" s="295"/>
      <c r="O320" s="295"/>
      <c r="P320" s="295"/>
      <c r="Q320" s="295"/>
      <c r="R320" s="295"/>
      <c r="S320" s="295"/>
      <c r="T320" s="295"/>
      <c r="U320" s="295"/>
      <c r="V320" s="285"/>
      <c r="W320" s="294"/>
      <c r="X320" s="294"/>
      <c r="Y320" s="294"/>
      <c r="Z320" s="294"/>
      <c r="AA320" s="294"/>
      <c r="AB320" s="294"/>
      <c r="AC320" s="294"/>
      <c r="AD320" s="294"/>
      <c r="AE320" s="685"/>
      <c r="AF320" s="685"/>
      <c r="AG320" s="685"/>
    </row>
    <row r="321" spans="1:33" x14ac:dyDescent="0.25">
      <c r="A321" s="673" t="s">
        <v>544</v>
      </c>
      <c r="B321" s="674" t="s">
        <v>557</v>
      </c>
      <c r="C321" s="692"/>
      <c r="D321" s="692"/>
      <c r="E321" s="684"/>
      <c r="F321" s="295"/>
      <c r="G321" s="295"/>
      <c r="H321" s="295"/>
      <c r="I321" s="295"/>
      <c r="J321" s="295"/>
      <c r="K321" s="295"/>
      <c r="L321" s="295"/>
      <c r="M321" s="295"/>
      <c r="N321" s="295"/>
      <c r="O321" s="295"/>
      <c r="P321" s="295"/>
      <c r="Q321" s="295"/>
      <c r="R321" s="295"/>
      <c r="S321" s="295"/>
      <c r="T321" s="295"/>
      <c r="U321" s="295"/>
      <c r="V321" s="295"/>
      <c r="W321" s="285"/>
      <c r="X321" s="294"/>
      <c r="Y321" s="294"/>
      <c r="Z321" s="294"/>
      <c r="AA321" s="294"/>
      <c r="AB321" s="294"/>
      <c r="AC321" s="294"/>
      <c r="AD321" s="294"/>
      <c r="AE321" s="685"/>
      <c r="AF321" s="685"/>
      <c r="AG321" s="685"/>
    </row>
    <row r="322" spans="1:33" x14ac:dyDescent="0.25">
      <c r="A322" s="673" t="s">
        <v>544</v>
      </c>
      <c r="B322" s="674" t="s">
        <v>558</v>
      </c>
      <c r="C322" s="692"/>
      <c r="D322" s="692"/>
      <c r="E322" s="684"/>
      <c r="F322" s="295"/>
      <c r="G322" s="295"/>
      <c r="H322" s="295"/>
      <c r="I322" s="295"/>
      <c r="J322" s="295"/>
      <c r="K322" s="295"/>
      <c r="L322" s="295"/>
      <c r="M322" s="295"/>
      <c r="N322" s="295"/>
      <c r="O322" s="295"/>
      <c r="P322" s="295"/>
      <c r="Q322" s="295"/>
      <c r="R322" s="295"/>
      <c r="S322" s="295"/>
      <c r="T322" s="295"/>
      <c r="U322" s="295"/>
      <c r="V322" s="295"/>
      <c r="W322" s="295"/>
      <c r="X322" s="285"/>
      <c r="Y322" s="294"/>
      <c r="Z322" s="294"/>
      <c r="AA322" s="294"/>
      <c r="AB322" s="294"/>
      <c r="AC322" s="294"/>
      <c r="AD322" s="294"/>
      <c r="AE322" s="685"/>
      <c r="AF322" s="685"/>
      <c r="AG322" s="685"/>
    </row>
    <row r="323" spans="1:33" x14ac:dyDescent="0.25">
      <c r="A323" s="673" t="s">
        <v>544</v>
      </c>
      <c r="B323" s="674" t="s">
        <v>559</v>
      </c>
      <c r="C323" s="692"/>
      <c r="D323" s="692"/>
      <c r="E323" s="684"/>
      <c r="F323" s="295"/>
      <c r="G323" s="295"/>
      <c r="H323" s="295"/>
      <c r="I323" s="295"/>
      <c r="J323" s="295"/>
      <c r="K323" s="295"/>
      <c r="L323" s="295"/>
      <c r="M323" s="295"/>
      <c r="N323" s="295"/>
      <c r="O323" s="295"/>
      <c r="P323" s="295"/>
      <c r="Q323" s="295"/>
      <c r="R323" s="295"/>
      <c r="S323" s="295"/>
      <c r="T323" s="295"/>
      <c r="U323" s="295"/>
      <c r="V323" s="295"/>
      <c r="W323" s="295"/>
      <c r="X323" s="295"/>
      <c r="Y323" s="285"/>
      <c r="Z323" s="685"/>
      <c r="AA323" s="685"/>
      <c r="AB323" s="685"/>
      <c r="AC323" s="685"/>
      <c r="AD323" s="685"/>
      <c r="AE323" s="685"/>
      <c r="AF323" s="685"/>
      <c r="AG323" s="685"/>
    </row>
    <row r="324" spans="1:33" x14ac:dyDescent="0.25">
      <c r="A324" s="673" t="s">
        <v>544</v>
      </c>
      <c r="B324" s="674" t="s">
        <v>1003</v>
      </c>
      <c r="C324" s="283"/>
      <c r="D324" s="283"/>
      <c r="E324" s="687"/>
      <c r="F324" s="295"/>
      <c r="G324" s="295"/>
      <c r="H324" s="295"/>
      <c r="I324" s="295"/>
      <c r="J324" s="295"/>
      <c r="K324" s="295"/>
      <c r="L324" s="295"/>
      <c r="M324" s="295"/>
      <c r="N324" s="295"/>
      <c r="O324" s="295"/>
      <c r="P324" s="295"/>
      <c r="Q324" s="295"/>
      <c r="R324" s="295"/>
      <c r="S324" s="295"/>
      <c r="T324" s="295"/>
      <c r="U324" s="295"/>
      <c r="V324" s="295"/>
      <c r="W324" s="295"/>
      <c r="X324" s="295"/>
      <c r="Y324" s="295"/>
      <c r="Z324" s="285"/>
      <c r="AA324" s="294"/>
      <c r="AB324" s="294"/>
      <c r="AC324" s="294"/>
      <c r="AD324" s="294"/>
      <c r="AE324" s="283"/>
      <c r="AF324" s="283"/>
      <c r="AG324" s="685"/>
    </row>
    <row r="325" spans="1:33" x14ac:dyDescent="0.25">
      <c r="A325" s="673" t="s">
        <v>544</v>
      </c>
      <c r="B325" s="674" t="s">
        <v>1004</v>
      </c>
      <c r="C325" s="283"/>
      <c r="D325" s="283"/>
      <c r="E325" s="687"/>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85"/>
      <c r="AB325" s="294"/>
      <c r="AC325" s="294"/>
      <c r="AD325" s="294"/>
      <c r="AE325" s="283"/>
      <c r="AF325" s="283"/>
      <c r="AG325" s="685"/>
    </row>
    <row r="326" spans="1:33" x14ac:dyDescent="0.25">
      <c r="A326" s="673" t="s">
        <v>544</v>
      </c>
      <c r="B326" s="674" t="s">
        <v>1005</v>
      </c>
      <c r="C326" s="283"/>
      <c r="D326" s="283"/>
      <c r="E326" s="687"/>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85"/>
      <c r="AC326" s="294"/>
      <c r="AD326" s="294"/>
      <c r="AE326" s="283"/>
      <c r="AF326" s="283"/>
      <c r="AG326" s="685"/>
    </row>
    <row r="327" spans="1:33" x14ac:dyDescent="0.25">
      <c r="A327" s="673" t="s">
        <v>544</v>
      </c>
      <c r="B327" s="674" t="s">
        <v>1006</v>
      </c>
      <c r="C327" s="283"/>
      <c r="D327" s="283"/>
      <c r="E327" s="687"/>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85"/>
      <c r="AD327" s="294"/>
      <c r="AE327" s="283"/>
      <c r="AF327" s="283"/>
      <c r="AG327" s="685"/>
    </row>
    <row r="328" spans="1:33" x14ac:dyDescent="0.25">
      <c r="A328" s="673" t="s">
        <v>544</v>
      </c>
      <c r="B328" s="674" t="s">
        <v>1007</v>
      </c>
      <c r="C328" s="283"/>
      <c r="D328" s="283"/>
      <c r="E328" s="687"/>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85"/>
      <c r="AE328" s="283"/>
      <c r="AF328" s="283"/>
      <c r="AG328" s="685"/>
    </row>
    <row r="329" spans="1:33" ht="13" x14ac:dyDescent="0.3">
      <c r="A329" s="677"/>
      <c r="B329" s="678" t="s">
        <v>271</v>
      </c>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O292"/>
  <sheetViews>
    <sheetView showGridLines="0" zoomScale="50" zoomScaleNormal="50" workbookViewId="0">
      <selection activeCell="C34" sqref="C34"/>
    </sheetView>
  </sheetViews>
  <sheetFormatPr defaultColWidth="9.36328125" defaultRowHeight="14" x14ac:dyDescent="0.3"/>
  <cols>
    <col min="1" max="1" width="9.36328125" style="289"/>
    <col min="2" max="2" width="7.453125" style="289" bestFit="1" customWidth="1"/>
    <col min="3" max="3" width="32" style="289" bestFit="1" customWidth="1"/>
    <col min="4" max="4" width="8.6328125" style="289" customWidth="1"/>
    <col min="5" max="5" width="22.1796875" style="289" customWidth="1"/>
    <col min="6" max="6" width="13.6328125" style="289" bestFit="1" customWidth="1"/>
    <col min="7" max="8" width="19.36328125" style="289" customWidth="1"/>
    <col min="9" max="9" width="21.54296875" style="289" customWidth="1"/>
    <col min="10" max="10" width="13.54296875" style="289" customWidth="1"/>
    <col min="11" max="11" width="18.36328125" style="289" customWidth="1"/>
    <col min="12" max="12" width="20" style="289" customWidth="1"/>
    <col min="13" max="13" width="18.453125" style="289" customWidth="1"/>
    <col min="14" max="14" width="17.6328125" style="289" customWidth="1"/>
    <col min="15" max="15" width="17.36328125" style="289" customWidth="1"/>
    <col min="16" max="16384" width="9.36328125" style="289"/>
  </cols>
  <sheetData>
    <row r="2" spans="2:15" x14ac:dyDescent="0.3">
      <c r="B2" s="1468" t="str">
        <f>Index!B2</f>
        <v xml:space="preserve">      Maharashtra State Power Generation Company Ltd.</v>
      </c>
      <c r="C2" s="1468"/>
      <c r="D2" s="1468"/>
      <c r="E2" s="1468"/>
      <c r="F2" s="1468"/>
      <c r="G2" s="1468"/>
      <c r="H2" s="1468"/>
      <c r="I2" s="1468"/>
      <c r="J2" s="1468"/>
      <c r="K2" s="1468"/>
      <c r="L2" s="1468"/>
      <c r="M2" s="1468"/>
      <c r="N2" s="1468"/>
      <c r="O2" s="1468"/>
    </row>
    <row r="3" spans="2:15" x14ac:dyDescent="0.3">
      <c r="B3" s="1468" t="str">
        <f>Index!B3</f>
        <v>MYT Petition Formats for SHP Hydro</v>
      </c>
      <c r="C3" s="1468"/>
      <c r="D3" s="1468"/>
      <c r="E3" s="1468"/>
      <c r="F3" s="1468"/>
      <c r="G3" s="1468"/>
      <c r="H3" s="1468"/>
      <c r="I3" s="1468"/>
      <c r="J3" s="1468"/>
      <c r="K3" s="1468"/>
      <c r="L3" s="1468"/>
      <c r="M3" s="1468"/>
      <c r="N3" s="1468"/>
      <c r="O3" s="1468"/>
    </row>
    <row r="4" spans="2:15" x14ac:dyDescent="0.3">
      <c r="B4" s="1684" t="s">
        <v>758</v>
      </c>
      <c r="C4" s="1684"/>
      <c r="D4" s="1684"/>
      <c r="E4" s="1684"/>
      <c r="F4" s="1684"/>
      <c r="G4" s="1684"/>
      <c r="H4" s="1684"/>
      <c r="I4" s="1684"/>
      <c r="J4" s="1684"/>
      <c r="K4" s="1684"/>
      <c r="L4" s="1684"/>
      <c r="M4" s="1684"/>
      <c r="N4" s="1684"/>
      <c r="O4" s="1684"/>
    </row>
    <row r="5" spans="2:15" x14ac:dyDescent="0.3">
      <c r="B5" s="13"/>
      <c r="C5" s="13"/>
      <c r="D5" s="13"/>
      <c r="E5" s="13"/>
      <c r="F5" s="13"/>
      <c r="G5" s="13"/>
      <c r="H5" s="13"/>
      <c r="I5" s="13"/>
      <c r="J5" s="13"/>
      <c r="K5" s="13"/>
      <c r="L5" s="13"/>
    </row>
    <row r="6" spans="2:15" x14ac:dyDescent="0.3">
      <c r="B6" s="1800" t="s">
        <v>759</v>
      </c>
      <c r="C6" s="1800"/>
      <c r="D6" s="579"/>
      <c r="E6" s="13"/>
      <c r="F6" s="13"/>
      <c r="G6" s="13"/>
      <c r="H6" s="13"/>
      <c r="I6" s="13"/>
      <c r="J6" s="13"/>
      <c r="K6" s="13"/>
      <c r="L6" s="13"/>
    </row>
    <row r="8" spans="2:15" ht="79.25" customHeight="1" x14ac:dyDescent="0.3">
      <c r="B8" s="1471" t="s">
        <v>343</v>
      </c>
      <c r="C8" s="1471" t="s">
        <v>571</v>
      </c>
      <c r="D8" s="1471" t="s">
        <v>582</v>
      </c>
      <c r="E8" s="576" t="s">
        <v>655</v>
      </c>
      <c r="F8" s="1476" t="s">
        <v>572</v>
      </c>
      <c r="G8" s="1476"/>
      <c r="H8" s="1476"/>
      <c r="I8" s="1476"/>
      <c r="J8" s="1476"/>
      <c r="K8" s="1476" t="s">
        <v>576</v>
      </c>
      <c r="L8" s="1476"/>
      <c r="M8" s="1476"/>
      <c r="N8" s="1476" t="s">
        <v>580</v>
      </c>
      <c r="O8" s="1476" t="s">
        <v>581</v>
      </c>
    </row>
    <row r="9" spans="2:15" ht="42.75" customHeight="1" x14ac:dyDescent="0.3">
      <c r="B9" s="1556"/>
      <c r="C9" s="1556"/>
      <c r="D9" s="1556"/>
      <c r="E9" s="577" t="s">
        <v>657</v>
      </c>
      <c r="F9" s="575" t="s">
        <v>578</v>
      </c>
      <c r="G9" s="575" t="s">
        <v>573</v>
      </c>
      <c r="H9" s="575" t="s">
        <v>659</v>
      </c>
      <c r="I9" s="577" t="s">
        <v>574</v>
      </c>
      <c r="J9" s="577" t="s">
        <v>575</v>
      </c>
      <c r="K9" s="577" t="s">
        <v>577</v>
      </c>
      <c r="L9" s="577" t="s">
        <v>579</v>
      </c>
      <c r="M9" s="577" t="s">
        <v>658</v>
      </c>
      <c r="N9" s="1476"/>
      <c r="O9" s="1476"/>
    </row>
    <row r="10" spans="2:15" x14ac:dyDescent="0.3">
      <c r="B10" s="1794">
        <f>B9+1</f>
        <v>1</v>
      </c>
      <c r="C10" s="1797"/>
      <c r="D10" s="128" t="s">
        <v>279</v>
      </c>
      <c r="E10" s="1785" t="s">
        <v>839</v>
      </c>
      <c r="F10" s="1786"/>
      <c r="G10" s="1786"/>
      <c r="H10" s="1786"/>
      <c r="I10" s="1786"/>
      <c r="J10" s="1786"/>
      <c r="K10" s="1786"/>
      <c r="L10" s="1786"/>
      <c r="M10" s="1786"/>
      <c r="N10" s="1786"/>
      <c r="O10" s="1787"/>
    </row>
    <row r="11" spans="2:15" x14ac:dyDescent="0.3">
      <c r="B11" s="1795"/>
      <c r="C11" s="1798"/>
      <c r="D11" s="128" t="s">
        <v>280</v>
      </c>
      <c r="E11" s="1788"/>
      <c r="F11" s="1789"/>
      <c r="G11" s="1789"/>
      <c r="H11" s="1789"/>
      <c r="I11" s="1789"/>
      <c r="J11" s="1789"/>
      <c r="K11" s="1789"/>
      <c r="L11" s="1789"/>
      <c r="M11" s="1789"/>
      <c r="N11" s="1789"/>
      <c r="O11" s="1790"/>
    </row>
    <row r="12" spans="2:15" x14ac:dyDescent="0.3">
      <c r="B12" s="1795"/>
      <c r="C12" s="1798"/>
      <c r="D12" s="128" t="s">
        <v>281</v>
      </c>
      <c r="E12" s="1788"/>
      <c r="F12" s="1789"/>
      <c r="G12" s="1789"/>
      <c r="H12" s="1789"/>
      <c r="I12" s="1789"/>
      <c r="J12" s="1789"/>
      <c r="K12" s="1789"/>
      <c r="L12" s="1789"/>
      <c r="M12" s="1789"/>
      <c r="N12" s="1789"/>
      <c r="O12" s="1790"/>
    </row>
    <row r="13" spans="2:15" x14ac:dyDescent="0.3">
      <c r="B13" s="1795"/>
      <c r="C13" s="1798"/>
      <c r="D13" s="128" t="s">
        <v>583</v>
      </c>
      <c r="E13" s="1788"/>
      <c r="F13" s="1789"/>
      <c r="G13" s="1789"/>
      <c r="H13" s="1789"/>
      <c r="I13" s="1789"/>
      <c r="J13" s="1789"/>
      <c r="K13" s="1789"/>
      <c r="L13" s="1789"/>
      <c r="M13" s="1789"/>
      <c r="N13" s="1789"/>
      <c r="O13" s="1790"/>
    </row>
    <row r="14" spans="2:15" x14ac:dyDescent="0.3">
      <c r="B14" s="1795"/>
      <c r="C14" s="1798"/>
      <c r="D14" s="128" t="s">
        <v>283</v>
      </c>
      <c r="E14" s="1788"/>
      <c r="F14" s="1789"/>
      <c r="G14" s="1789"/>
      <c r="H14" s="1789"/>
      <c r="I14" s="1789"/>
      <c r="J14" s="1789"/>
      <c r="K14" s="1789"/>
      <c r="L14" s="1789"/>
      <c r="M14" s="1789"/>
      <c r="N14" s="1789"/>
      <c r="O14" s="1790"/>
    </row>
    <row r="15" spans="2:15" x14ac:dyDescent="0.3">
      <c r="B15" s="1795"/>
      <c r="C15" s="1798"/>
      <c r="D15" s="128" t="s">
        <v>284</v>
      </c>
      <c r="E15" s="1788"/>
      <c r="F15" s="1789"/>
      <c r="G15" s="1789"/>
      <c r="H15" s="1789"/>
      <c r="I15" s="1789"/>
      <c r="J15" s="1789"/>
      <c r="K15" s="1789"/>
      <c r="L15" s="1789"/>
      <c r="M15" s="1789"/>
      <c r="N15" s="1789"/>
      <c r="O15" s="1790"/>
    </row>
    <row r="16" spans="2:15" x14ac:dyDescent="0.3">
      <c r="B16" s="1795"/>
      <c r="C16" s="1798"/>
      <c r="D16" s="128" t="s">
        <v>285</v>
      </c>
      <c r="E16" s="1788"/>
      <c r="F16" s="1789"/>
      <c r="G16" s="1789"/>
      <c r="H16" s="1789"/>
      <c r="I16" s="1789"/>
      <c r="J16" s="1789"/>
      <c r="K16" s="1789"/>
      <c r="L16" s="1789"/>
      <c r="M16" s="1789"/>
      <c r="N16" s="1789"/>
      <c r="O16" s="1790"/>
    </row>
    <row r="17" spans="2:15" x14ac:dyDescent="0.3">
      <c r="B17" s="1795"/>
      <c r="C17" s="1798"/>
      <c r="D17" s="128" t="s">
        <v>584</v>
      </c>
      <c r="E17" s="1788"/>
      <c r="F17" s="1789"/>
      <c r="G17" s="1789"/>
      <c r="H17" s="1789"/>
      <c r="I17" s="1789"/>
      <c r="J17" s="1789"/>
      <c r="K17" s="1789"/>
      <c r="L17" s="1789"/>
      <c r="M17" s="1789"/>
      <c r="N17" s="1789"/>
      <c r="O17" s="1790"/>
    </row>
    <row r="18" spans="2:15" x14ac:dyDescent="0.3">
      <c r="B18" s="1795"/>
      <c r="C18" s="1798"/>
      <c r="D18" s="128" t="s">
        <v>287</v>
      </c>
      <c r="E18" s="1788"/>
      <c r="F18" s="1789"/>
      <c r="G18" s="1789"/>
      <c r="H18" s="1789"/>
      <c r="I18" s="1789"/>
      <c r="J18" s="1789"/>
      <c r="K18" s="1789"/>
      <c r="L18" s="1789"/>
      <c r="M18" s="1789"/>
      <c r="N18" s="1789"/>
      <c r="O18" s="1790"/>
    </row>
    <row r="19" spans="2:15" x14ac:dyDescent="0.3">
      <c r="B19" s="1795"/>
      <c r="C19" s="1798"/>
      <c r="D19" s="128" t="s">
        <v>288</v>
      </c>
      <c r="E19" s="1788"/>
      <c r="F19" s="1789"/>
      <c r="G19" s="1789"/>
      <c r="H19" s="1789"/>
      <c r="I19" s="1789"/>
      <c r="J19" s="1789"/>
      <c r="K19" s="1789"/>
      <c r="L19" s="1789"/>
      <c r="M19" s="1789"/>
      <c r="N19" s="1789"/>
      <c r="O19" s="1790"/>
    </row>
    <row r="20" spans="2:15" x14ac:dyDescent="0.3">
      <c r="B20" s="1795"/>
      <c r="C20" s="1798"/>
      <c r="D20" s="128" t="s">
        <v>289</v>
      </c>
      <c r="E20" s="1788"/>
      <c r="F20" s="1789"/>
      <c r="G20" s="1789"/>
      <c r="H20" s="1789"/>
      <c r="I20" s="1789"/>
      <c r="J20" s="1789"/>
      <c r="K20" s="1789"/>
      <c r="L20" s="1789"/>
      <c r="M20" s="1789"/>
      <c r="N20" s="1789"/>
      <c r="O20" s="1790"/>
    </row>
    <row r="21" spans="2:15" x14ac:dyDescent="0.3">
      <c r="B21" s="1796"/>
      <c r="C21" s="1799"/>
      <c r="D21" s="128" t="s">
        <v>290</v>
      </c>
      <c r="E21" s="1788"/>
      <c r="F21" s="1789"/>
      <c r="G21" s="1789"/>
      <c r="H21" s="1789"/>
      <c r="I21" s="1789"/>
      <c r="J21" s="1789"/>
      <c r="K21" s="1789"/>
      <c r="L21" s="1789"/>
      <c r="M21" s="1789"/>
      <c r="N21" s="1789"/>
      <c r="O21" s="1790"/>
    </row>
    <row r="22" spans="2:15" x14ac:dyDescent="0.3">
      <c r="B22" s="1794">
        <f>B10+1</f>
        <v>2</v>
      </c>
      <c r="C22" s="1797"/>
      <c r="D22" s="128" t="s">
        <v>279</v>
      </c>
      <c r="E22" s="1788"/>
      <c r="F22" s="1789"/>
      <c r="G22" s="1789"/>
      <c r="H22" s="1789"/>
      <c r="I22" s="1789"/>
      <c r="J22" s="1789"/>
      <c r="K22" s="1789"/>
      <c r="L22" s="1789"/>
      <c r="M22" s="1789"/>
      <c r="N22" s="1789"/>
      <c r="O22" s="1790"/>
    </row>
    <row r="23" spans="2:15" x14ac:dyDescent="0.3">
      <c r="B23" s="1795"/>
      <c r="C23" s="1798"/>
      <c r="D23" s="128" t="s">
        <v>280</v>
      </c>
      <c r="E23" s="1788"/>
      <c r="F23" s="1789"/>
      <c r="G23" s="1789"/>
      <c r="H23" s="1789"/>
      <c r="I23" s="1789"/>
      <c r="J23" s="1789"/>
      <c r="K23" s="1789"/>
      <c r="L23" s="1789"/>
      <c r="M23" s="1789"/>
      <c r="N23" s="1789"/>
      <c r="O23" s="1790"/>
    </row>
    <row r="24" spans="2:15" x14ac:dyDescent="0.3">
      <c r="B24" s="1795"/>
      <c r="C24" s="1798"/>
      <c r="D24" s="128" t="s">
        <v>281</v>
      </c>
      <c r="E24" s="1788"/>
      <c r="F24" s="1789"/>
      <c r="G24" s="1789"/>
      <c r="H24" s="1789"/>
      <c r="I24" s="1789"/>
      <c r="J24" s="1789"/>
      <c r="K24" s="1789"/>
      <c r="L24" s="1789"/>
      <c r="M24" s="1789"/>
      <c r="N24" s="1789"/>
      <c r="O24" s="1790"/>
    </row>
    <row r="25" spans="2:15" x14ac:dyDescent="0.3">
      <c r="B25" s="1795"/>
      <c r="C25" s="1798"/>
      <c r="D25" s="128" t="s">
        <v>583</v>
      </c>
      <c r="E25" s="1788"/>
      <c r="F25" s="1789"/>
      <c r="G25" s="1789"/>
      <c r="H25" s="1789"/>
      <c r="I25" s="1789"/>
      <c r="J25" s="1789"/>
      <c r="K25" s="1789"/>
      <c r="L25" s="1789"/>
      <c r="M25" s="1789"/>
      <c r="N25" s="1789"/>
      <c r="O25" s="1790"/>
    </row>
    <row r="26" spans="2:15" x14ac:dyDescent="0.3">
      <c r="B26" s="1795"/>
      <c r="C26" s="1798"/>
      <c r="D26" s="128" t="s">
        <v>283</v>
      </c>
      <c r="E26" s="1788"/>
      <c r="F26" s="1789"/>
      <c r="G26" s="1789"/>
      <c r="H26" s="1789"/>
      <c r="I26" s="1789"/>
      <c r="J26" s="1789"/>
      <c r="K26" s="1789"/>
      <c r="L26" s="1789"/>
      <c r="M26" s="1789"/>
      <c r="N26" s="1789"/>
      <c r="O26" s="1790"/>
    </row>
    <row r="27" spans="2:15" x14ac:dyDescent="0.3">
      <c r="B27" s="1795"/>
      <c r="C27" s="1798"/>
      <c r="D27" s="128" t="s">
        <v>284</v>
      </c>
      <c r="E27" s="1788"/>
      <c r="F27" s="1789"/>
      <c r="G27" s="1789"/>
      <c r="H27" s="1789"/>
      <c r="I27" s="1789"/>
      <c r="J27" s="1789"/>
      <c r="K27" s="1789"/>
      <c r="L27" s="1789"/>
      <c r="M27" s="1789"/>
      <c r="N27" s="1789"/>
      <c r="O27" s="1790"/>
    </row>
    <row r="28" spans="2:15" x14ac:dyDescent="0.3">
      <c r="B28" s="1795"/>
      <c r="C28" s="1798"/>
      <c r="D28" s="128" t="s">
        <v>285</v>
      </c>
      <c r="E28" s="1788"/>
      <c r="F28" s="1789"/>
      <c r="G28" s="1789"/>
      <c r="H28" s="1789"/>
      <c r="I28" s="1789"/>
      <c r="J28" s="1789"/>
      <c r="K28" s="1789"/>
      <c r="L28" s="1789"/>
      <c r="M28" s="1789"/>
      <c r="N28" s="1789"/>
      <c r="O28" s="1790"/>
    </row>
    <row r="29" spans="2:15" x14ac:dyDescent="0.3">
      <c r="B29" s="1795"/>
      <c r="C29" s="1798"/>
      <c r="D29" s="128" t="s">
        <v>584</v>
      </c>
      <c r="E29" s="1788"/>
      <c r="F29" s="1789"/>
      <c r="G29" s="1789"/>
      <c r="H29" s="1789"/>
      <c r="I29" s="1789"/>
      <c r="J29" s="1789"/>
      <c r="K29" s="1789"/>
      <c r="L29" s="1789"/>
      <c r="M29" s="1789"/>
      <c r="N29" s="1789"/>
      <c r="O29" s="1790"/>
    </row>
    <row r="30" spans="2:15" x14ac:dyDescent="0.3">
      <c r="B30" s="1795"/>
      <c r="C30" s="1798"/>
      <c r="D30" s="128" t="s">
        <v>287</v>
      </c>
      <c r="E30" s="1788"/>
      <c r="F30" s="1789"/>
      <c r="G30" s="1789"/>
      <c r="H30" s="1789"/>
      <c r="I30" s="1789"/>
      <c r="J30" s="1789"/>
      <c r="K30" s="1789"/>
      <c r="L30" s="1789"/>
      <c r="M30" s="1789"/>
      <c r="N30" s="1789"/>
      <c r="O30" s="1790"/>
    </row>
    <row r="31" spans="2:15" x14ac:dyDescent="0.3">
      <c r="B31" s="1795"/>
      <c r="C31" s="1798"/>
      <c r="D31" s="128" t="s">
        <v>288</v>
      </c>
      <c r="E31" s="1788"/>
      <c r="F31" s="1789"/>
      <c r="G31" s="1789"/>
      <c r="H31" s="1789"/>
      <c r="I31" s="1789"/>
      <c r="J31" s="1789"/>
      <c r="K31" s="1789"/>
      <c r="L31" s="1789"/>
      <c r="M31" s="1789"/>
      <c r="N31" s="1789"/>
      <c r="O31" s="1790"/>
    </row>
    <row r="32" spans="2:15" x14ac:dyDescent="0.3">
      <c r="B32" s="1795"/>
      <c r="C32" s="1798"/>
      <c r="D32" s="128" t="s">
        <v>289</v>
      </c>
      <c r="E32" s="1788"/>
      <c r="F32" s="1789"/>
      <c r="G32" s="1789"/>
      <c r="H32" s="1789"/>
      <c r="I32" s="1789"/>
      <c r="J32" s="1789"/>
      <c r="K32" s="1789"/>
      <c r="L32" s="1789"/>
      <c r="M32" s="1789"/>
      <c r="N32" s="1789"/>
      <c r="O32" s="1790"/>
    </row>
    <row r="33" spans="2:15" x14ac:dyDescent="0.3">
      <c r="B33" s="1796"/>
      <c r="C33" s="1799"/>
      <c r="D33" s="128" t="s">
        <v>290</v>
      </c>
      <c r="E33" s="1788"/>
      <c r="F33" s="1789"/>
      <c r="G33" s="1789"/>
      <c r="H33" s="1789"/>
      <c r="I33" s="1789"/>
      <c r="J33" s="1789"/>
      <c r="K33" s="1789"/>
      <c r="L33" s="1789"/>
      <c r="M33" s="1789"/>
      <c r="N33" s="1789"/>
      <c r="O33" s="1790"/>
    </row>
    <row r="34" spans="2:15" x14ac:dyDescent="0.3">
      <c r="B34" s="101">
        <v>3</v>
      </c>
      <c r="C34" s="127"/>
      <c r="D34" s="127"/>
      <c r="E34" s="1788"/>
      <c r="F34" s="1789"/>
      <c r="G34" s="1789"/>
      <c r="H34" s="1789"/>
      <c r="I34" s="1789"/>
      <c r="J34" s="1789"/>
      <c r="K34" s="1789"/>
      <c r="L34" s="1789"/>
      <c r="M34" s="1789"/>
      <c r="N34" s="1789"/>
      <c r="O34" s="1790"/>
    </row>
    <row r="35" spans="2:15" x14ac:dyDescent="0.3">
      <c r="B35" s="101" t="s">
        <v>489</v>
      </c>
      <c r="C35" s="129"/>
      <c r="D35" s="129"/>
      <c r="E35" s="1791"/>
      <c r="F35" s="1792"/>
      <c r="G35" s="1792"/>
      <c r="H35" s="1792"/>
      <c r="I35" s="1792"/>
      <c r="J35" s="1792"/>
      <c r="K35" s="1792"/>
      <c r="L35" s="1792"/>
      <c r="M35" s="1792"/>
      <c r="N35" s="1792"/>
      <c r="O35" s="1793"/>
    </row>
    <row r="37" spans="2:15" x14ac:dyDescent="0.3">
      <c r="B37" s="1800" t="s">
        <v>760</v>
      </c>
      <c r="C37" s="1800"/>
      <c r="D37" s="579"/>
      <c r="E37" s="13"/>
      <c r="F37" s="13"/>
      <c r="G37" s="13"/>
      <c r="H37" s="13"/>
      <c r="I37" s="13"/>
      <c r="J37" s="13"/>
      <c r="K37" s="13"/>
      <c r="L37" s="13"/>
    </row>
    <row r="39" spans="2:15" ht="79.25" customHeight="1" x14ac:dyDescent="0.3">
      <c r="B39" s="1471" t="s">
        <v>343</v>
      </c>
      <c r="C39" s="1471" t="s">
        <v>571</v>
      </c>
      <c r="D39" s="1471" t="s">
        <v>582</v>
      </c>
      <c r="E39" s="576" t="s">
        <v>655</v>
      </c>
      <c r="F39" s="1476" t="s">
        <v>572</v>
      </c>
      <c r="G39" s="1476"/>
      <c r="H39" s="1476"/>
      <c r="I39" s="1476"/>
      <c r="J39" s="1476"/>
      <c r="K39" s="1476" t="s">
        <v>576</v>
      </c>
      <c r="L39" s="1476"/>
      <c r="M39" s="1476"/>
      <c r="N39" s="1476" t="s">
        <v>772</v>
      </c>
      <c r="O39" s="1476" t="s">
        <v>581</v>
      </c>
    </row>
    <row r="40" spans="2:15" ht="42.75" customHeight="1" x14ac:dyDescent="0.3">
      <c r="B40" s="1556"/>
      <c r="C40" s="1556"/>
      <c r="D40" s="1556"/>
      <c r="E40" s="577" t="s">
        <v>657</v>
      </c>
      <c r="F40" s="575" t="s">
        <v>578</v>
      </c>
      <c r="G40" s="575" t="s">
        <v>573</v>
      </c>
      <c r="H40" s="575" t="s">
        <v>659</v>
      </c>
      <c r="I40" s="577" t="s">
        <v>697</v>
      </c>
      <c r="J40" s="577" t="s">
        <v>770</v>
      </c>
      <c r="K40" s="577" t="s">
        <v>577</v>
      </c>
      <c r="L40" s="577" t="s">
        <v>771</v>
      </c>
      <c r="M40" s="577" t="s">
        <v>658</v>
      </c>
      <c r="N40" s="1476"/>
      <c r="O40" s="1476"/>
    </row>
    <row r="41" spans="2:15" x14ac:dyDescent="0.3">
      <c r="B41" s="1794">
        <f>B40+1</f>
        <v>1</v>
      </c>
      <c r="C41" s="1797"/>
      <c r="D41" s="128" t="s">
        <v>279</v>
      </c>
      <c r="E41" s="1785" t="s">
        <v>839</v>
      </c>
      <c r="F41" s="1786"/>
      <c r="G41" s="1786"/>
      <c r="H41" s="1786"/>
      <c r="I41" s="1786"/>
      <c r="J41" s="1786"/>
      <c r="K41" s="1786"/>
      <c r="L41" s="1786"/>
      <c r="M41" s="1786"/>
      <c r="N41" s="1786"/>
      <c r="O41" s="1787"/>
    </row>
    <row r="42" spans="2:15" x14ac:dyDescent="0.3">
      <c r="B42" s="1795"/>
      <c r="C42" s="1798"/>
      <c r="D42" s="128" t="s">
        <v>280</v>
      </c>
      <c r="E42" s="1788"/>
      <c r="F42" s="1789"/>
      <c r="G42" s="1789"/>
      <c r="H42" s="1789"/>
      <c r="I42" s="1789"/>
      <c r="J42" s="1789"/>
      <c r="K42" s="1789"/>
      <c r="L42" s="1789"/>
      <c r="M42" s="1789"/>
      <c r="N42" s="1789"/>
      <c r="O42" s="1790"/>
    </row>
    <row r="43" spans="2:15" x14ac:dyDescent="0.3">
      <c r="B43" s="1795"/>
      <c r="C43" s="1798"/>
      <c r="D43" s="128" t="s">
        <v>281</v>
      </c>
      <c r="E43" s="1788"/>
      <c r="F43" s="1789"/>
      <c r="G43" s="1789"/>
      <c r="H43" s="1789"/>
      <c r="I43" s="1789"/>
      <c r="J43" s="1789"/>
      <c r="K43" s="1789"/>
      <c r="L43" s="1789"/>
      <c r="M43" s="1789"/>
      <c r="N43" s="1789"/>
      <c r="O43" s="1790"/>
    </row>
    <row r="44" spans="2:15" x14ac:dyDescent="0.3">
      <c r="B44" s="1795"/>
      <c r="C44" s="1798"/>
      <c r="D44" s="128" t="s">
        <v>583</v>
      </c>
      <c r="E44" s="1788"/>
      <c r="F44" s="1789"/>
      <c r="G44" s="1789"/>
      <c r="H44" s="1789"/>
      <c r="I44" s="1789"/>
      <c r="J44" s="1789"/>
      <c r="K44" s="1789"/>
      <c r="L44" s="1789"/>
      <c r="M44" s="1789"/>
      <c r="N44" s="1789"/>
      <c r="O44" s="1790"/>
    </row>
    <row r="45" spans="2:15" x14ac:dyDescent="0.3">
      <c r="B45" s="1795"/>
      <c r="C45" s="1798"/>
      <c r="D45" s="128" t="s">
        <v>283</v>
      </c>
      <c r="E45" s="1788"/>
      <c r="F45" s="1789"/>
      <c r="G45" s="1789"/>
      <c r="H45" s="1789"/>
      <c r="I45" s="1789"/>
      <c r="J45" s="1789"/>
      <c r="K45" s="1789"/>
      <c r="L45" s="1789"/>
      <c r="M45" s="1789"/>
      <c r="N45" s="1789"/>
      <c r="O45" s="1790"/>
    </row>
    <row r="46" spans="2:15" x14ac:dyDescent="0.3">
      <c r="B46" s="1795"/>
      <c r="C46" s="1798"/>
      <c r="D46" s="128" t="s">
        <v>284</v>
      </c>
      <c r="E46" s="1788"/>
      <c r="F46" s="1789"/>
      <c r="G46" s="1789"/>
      <c r="H46" s="1789"/>
      <c r="I46" s="1789"/>
      <c r="J46" s="1789"/>
      <c r="K46" s="1789"/>
      <c r="L46" s="1789"/>
      <c r="M46" s="1789"/>
      <c r="N46" s="1789"/>
      <c r="O46" s="1790"/>
    </row>
    <row r="47" spans="2:15" x14ac:dyDescent="0.3">
      <c r="B47" s="1795"/>
      <c r="C47" s="1798"/>
      <c r="D47" s="128" t="s">
        <v>285</v>
      </c>
      <c r="E47" s="1788"/>
      <c r="F47" s="1789"/>
      <c r="G47" s="1789"/>
      <c r="H47" s="1789"/>
      <c r="I47" s="1789"/>
      <c r="J47" s="1789"/>
      <c r="K47" s="1789"/>
      <c r="L47" s="1789"/>
      <c r="M47" s="1789"/>
      <c r="N47" s="1789"/>
      <c r="O47" s="1790"/>
    </row>
    <row r="48" spans="2:15" x14ac:dyDescent="0.3">
      <c r="B48" s="1795"/>
      <c r="C48" s="1798"/>
      <c r="D48" s="128" t="s">
        <v>584</v>
      </c>
      <c r="E48" s="1788"/>
      <c r="F48" s="1789"/>
      <c r="G48" s="1789"/>
      <c r="H48" s="1789"/>
      <c r="I48" s="1789"/>
      <c r="J48" s="1789"/>
      <c r="K48" s="1789"/>
      <c r="L48" s="1789"/>
      <c r="M48" s="1789"/>
      <c r="N48" s="1789"/>
      <c r="O48" s="1790"/>
    </row>
    <row r="49" spans="2:15" x14ac:dyDescent="0.3">
      <c r="B49" s="1795"/>
      <c r="C49" s="1798"/>
      <c r="D49" s="128" t="s">
        <v>287</v>
      </c>
      <c r="E49" s="1788"/>
      <c r="F49" s="1789"/>
      <c r="G49" s="1789"/>
      <c r="H49" s="1789"/>
      <c r="I49" s="1789"/>
      <c r="J49" s="1789"/>
      <c r="K49" s="1789"/>
      <c r="L49" s="1789"/>
      <c r="M49" s="1789"/>
      <c r="N49" s="1789"/>
      <c r="O49" s="1790"/>
    </row>
    <row r="50" spans="2:15" x14ac:dyDescent="0.3">
      <c r="B50" s="1795"/>
      <c r="C50" s="1798"/>
      <c r="D50" s="128" t="s">
        <v>288</v>
      </c>
      <c r="E50" s="1788"/>
      <c r="F50" s="1789"/>
      <c r="G50" s="1789"/>
      <c r="H50" s="1789"/>
      <c r="I50" s="1789"/>
      <c r="J50" s="1789"/>
      <c r="K50" s="1789"/>
      <c r="L50" s="1789"/>
      <c r="M50" s="1789"/>
      <c r="N50" s="1789"/>
      <c r="O50" s="1790"/>
    </row>
    <row r="51" spans="2:15" x14ac:dyDescent="0.3">
      <c r="B51" s="1795"/>
      <c r="C51" s="1798"/>
      <c r="D51" s="128" t="s">
        <v>289</v>
      </c>
      <c r="E51" s="1788"/>
      <c r="F51" s="1789"/>
      <c r="G51" s="1789"/>
      <c r="H51" s="1789"/>
      <c r="I51" s="1789"/>
      <c r="J51" s="1789"/>
      <c r="K51" s="1789"/>
      <c r="L51" s="1789"/>
      <c r="M51" s="1789"/>
      <c r="N51" s="1789"/>
      <c r="O51" s="1790"/>
    </row>
    <row r="52" spans="2:15" x14ac:dyDescent="0.3">
      <c r="B52" s="1796"/>
      <c r="C52" s="1799"/>
      <c r="D52" s="128" t="s">
        <v>290</v>
      </c>
      <c r="E52" s="1788"/>
      <c r="F52" s="1789"/>
      <c r="G52" s="1789"/>
      <c r="H52" s="1789"/>
      <c r="I52" s="1789"/>
      <c r="J52" s="1789"/>
      <c r="K52" s="1789"/>
      <c r="L52" s="1789"/>
      <c r="M52" s="1789"/>
      <c r="N52" s="1789"/>
      <c r="O52" s="1790"/>
    </row>
    <row r="53" spans="2:15" x14ac:dyDescent="0.3">
      <c r="B53" s="1794">
        <f>B41+1</f>
        <v>2</v>
      </c>
      <c r="C53" s="1797"/>
      <c r="D53" s="128" t="s">
        <v>279</v>
      </c>
      <c r="E53" s="1788"/>
      <c r="F53" s="1789"/>
      <c r="G53" s="1789"/>
      <c r="H53" s="1789"/>
      <c r="I53" s="1789"/>
      <c r="J53" s="1789"/>
      <c r="K53" s="1789"/>
      <c r="L53" s="1789"/>
      <c r="M53" s="1789"/>
      <c r="N53" s="1789"/>
      <c r="O53" s="1790"/>
    </row>
    <row r="54" spans="2:15" x14ac:dyDescent="0.3">
      <c r="B54" s="1795"/>
      <c r="C54" s="1798"/>
      <c r="D54" s="128" t="s">
        <v>280</v>
      </c>
      <c r="E54" s="1788"/>
      <c r="F54" s="1789"/>
      <c r="G54" s="1789"/>
      <c r="H54" s="1789"/>
      <c r="I54" s="1789"/>
      <c r="J54" s="1789"/>
      <c r="K54" s="1789"/>
      <c r="L54" s="1789"/>
      <c r="M54" s="1789"/>
      <c r="N54" s="1789"/>
      <c r="O54" s="1790"/>
    </row>
    <row r="55" spans="2:15" x14ac:dyDescent="0.3">
      <c r="B55" s="1795"/>
      <c r="C55" s="1798"/>
      <c r="D55" s="128" t="s">
        <v>281</v>
      </c>
      <c r="E55" s="1788"/>
      <c r="F55" s="1789"/>
      <c r="G55" s="1789"/>
      <c r="H55" s="1789"/>
      <c r="I55" s="1789"/>
      <c r="J55" s="1789"/>
      <c r="K55" s="1789"/>
      <c r="L55" s="1789"/>
      <c r="M55" s="1789"/>
      <c r="N55" s="1789"/>
      <c r="O55" s="1790"/>
    </row>
    <row r="56" spans="2:15" x14ac:dyDescent="0.3">
      <c r="B56" s="1795"/>
      <c r="C56" s="1798"/>
      <c r="D56" s="128" t="s">
        <v>583</v>
      </c>
      <c r="E56" s="1788"/>
      <c r="F56" s="1789"/>
      <c r="G56" s="1789"/>
      <c r="H56" s="1789"/>
      <c r="I56" s="1789"/>
      <c r="J56" s="1789"/>
      <c r="K56" s="1789"/>
      <c r="L56" s="1789"/>
      <c r="M56" s="1789"/>
      <c r="N56" s="1789"/>
      <c r="O56" s="1790"/>
    </row>
    <row r="57" spans="2:15" x14ac:dyDescent="0.3">
      <c r="B57" s="1795"/>
      <c r="C57" s="1798"/>
      <c r="D57" s="128" t="s">
        <v>283</v>
      </c>
      <c r="E57" s="1788"/>
      <c r="F57" s="1789"/>
      <c r="G57" s="1789"/>
      <c r="H57" s="1789"/>
      <c r="I57" s="1789"/>
      <c r="J57" s="1789"/>
      <c r="K57" s="1789"/>
      <c r="L57" s="1789"/>
      <c r="M57" s="1789"/>
      <c r="N57" s="1789"/>
      <c r="O57" s="1790"/>
    </row>
    <row r="58" spans="2:15" x14ac:dyDescent="0.3">
      <c r="B58" s="1795"/>
      <c r="C58" s="1798"/>
      <c r="D58" s="128" t="s">
        <v>284</v>
      </c>
      <c r="E58" s="1788"/>
      <c r="F58" s="1789"/>
      <c r="G58" s="1789"/>
      <c r="H58" s="1789"/>
      <c r="I58" s="1789"/>
      <c r="J58" s="1789"/>
      <c r="K58" s="1789"/>
      <c r="L58" s="1789"/>
      <c r="M58" s="1789"/>
      <c r="N58" s="1789"/>
      <c r="O58" s="1790"/>
    </row>
    <row r="59" spans="2:15" x14ac:dyDescent="0.3">
      <c r="B59" s="1795"/>
      <c r="C59" s="1798"/>
      <c r="D59" s="128" t="s">
        <v>285</v>
      </c>
      <c r="E59" s="1788"/>
      <c r="F59" s="1789"/>
      <c r="G59" s="1789"/>
      <c r="H59" s="1789"/>
      <c r="I59" s="1789"/>
      <c r="J59" s="1789"/>
      <c r="K59" s="1789"/>
      <c r="L59" s="1789"/>
      <c r="M59" s="1789"/>
      <c r="N59" s="1789"/>
      <c r="O59" s="1790"/>
    </row>
    <row r="60" spans="2:15" x14ac:dyDescent="0.3">
      <c r="B60" s="1795"/>
      <c r="C60" s="1798"/>
      <c r="D60" s="128" t="s">
        <v>584</v>
      </c>
      <c r="E60" s="1788"/>
      <c r="F60" s="1789"/>
      <c r="G60" s="1789"/>
      <c r="H60" s="1789"/>
      <c r="I60" s="1789"/>
      <c r="J60" s="1789"/>
      <c r="K60" s="1789"/>
      <c r="L60" s="1789"/>
      <c r="M60" s="1789"/>
      <c r="N60" s="1789"/>
      <c r="O60" s="1790"/>
    </row>
    <row r="61" spans="2:15" x14ac:dyDescent="0.3">
      <c r="B61" s="1795"/>
      <c r="C61" s="1798"/>
      <c r="D61" s="128" t="s">
        <v>287</v>
      </c>
      <c r="E61" s="1788"/>
      <c r="F61" s="1789"/>
      <c r="G61" s="1789"/>
      <c r="H61" s="1789"/>
      <c r="I61" s="1789"/>
      <c r="J61" s="1789"/>
      <c r="K61" s="1789"/>
      <c r="L61" s="1789"/>
      <c r="M61" s="1789"/>
      <c r="N61" s="1789"/>
      <c r="O61" s="1790"/>
    </row>
    <row r="62" spans="2:15" x14ac:dyDescent="0.3">
      <c r="B62" s="1795"/>
      <c r="C62" s="1798"/>
      <c r="D62" s="128" t="s">
        <v>288</v>
      </c>
      <c r="E62" s="1788"/>
      <c r="F62" s="1789"/>
      <c r="G62" s="1789"/>
      <c r="H62" s="1789"/>
      <c r="I62" s="1789"/>
      <c r="J62" s="1789"/>
      <c r="K62" s="1789"/>
      <c r="L62" s="1789"/>
      <c r="M62" s="1789"/>
      <c r="N62" s="1789"/>
      <c r="O62" s="1790"/>
    </row>
    <row r="63" spans="2:15" x14ac:dyDescent="0.3">
      <c r="B63" s="1795"/>
      <c r="C63" s="1798"/>
      <c r="D63" s="128" t="s">
        <v>289</v>
      </c>
      <c r="E63" s="1788"/>
      <c r="F63" s="1789"/>
      <c r="G63" s="1789"/>
      <c r="H63" s="1789"/>
      <c r="I63" s="1789"/>
      <c r="J63" s="1789"/>
      <c r="K63" s="1789"/>
      <c r="L63" s="1789"/>
      <c r="M63" s="1789"/>
      <c r="N63" s="1789"/>
      <c r="O63" s="1790"/>
    </row>
    <row r="64" spans="2:15" x14ac:dyDescent="0.3">
      <c r="B64" s="1796"/>
      <c r="C64" s="1799"/>
      <c r="D64" s="128" t="s">
        <v>290</v>
      </c>
      <c r="E64" s="1788"/>
      <c r="F64" s="1789"/>
      <c r="G64" s="1789"/>
      <c r="H64" s="1789"/>
      <c r="I64" s="1789"/>
      <c r="J64" s="1789"/>
      <c r="K64" s="1789"/>
      <c r="L64" s="1789"/>
      <c r="M64" s="1789"/>
      <c r="N64" s="1789"/>
      <c r="O64" s="1790"/>
    </row>
    <row r="65" spans="2:15" x14ac:dyDescent="0.3">
      <c r="B65" s="101">
        <v>3</v>
      </c>
      <c r="C65" s="127"/>
      <c r="D65" s="127"/>
      <c r="E65" s="1788"/>
      <c r="F65" s="1789"/>
      <c r="G65" s="1789"/>
      <c r="H65" s="1789"/>
      <c r="I65" s="1789"/>
      <c r="J65" s="1789"/>
      <c r="K65" s="1789"/>
      <c r="L65" s="1789"/>
      <c r="M65" s="1789"/>
      <c r="N65" s="1789"/>
      <c r="O65" s="1790"/>
    </row>
    <row r="66" spans="2:15" x14ac:dyDescent="0.3">
      <c r="B66" s="101" t="s">
        <v>489</v>
      </c>
      <c r="C66" s="129"/>
      <c r="D66" s="129"/>
      <c r="E66" s="1791"/>
      <c r="F66" s="1792"/>
      <c r="G66" s="1792"/>
      <c r="H66" s="1792"/>
      <c r="I66" s="1792"/>
      <c r="J66" s="1792"/>
      <c r="K66" s="1792"/>
      <c r="L66" s="1792"/>
      <c r="M66" s="1792"/>
      <c r="N66" s="1792"/>
      <c r="O66" s="1793"/>
    </row>
    <row r="68" spans="2:15" x14ac:dyDescent="0.3">
      <c r="B68" s="289" t="s">
        <v>761</v>
      </c>
    </row>
    <row r="70" spans="2:15" x14ac:dyDescent="0.3">
      <c r="B70" s="1800" t="s">
        <v>762</v>
      </c>
      <c r="C70" s="1800"/>
      <c r="D70" s="579"/>
      <c r="E70" s="13"/>
      <c r="F70" s="13"/>
      <c r="G70" s="13"/>
      <c r="H70" s="13"/>
      <c r="I70" s="13"/>
      <c r="J70" s="13"/>
      <c r="K70" s="13"/>
      <c r="L70" s="13"/>
    </row>
    <row r="72" spans="2:15" ht="42" x14ac:dyDescent="0.3">
      <c r="B72" s="1471" t="s">
        <v>343</v>
      </c>
      <c r="C72" s="1471" t="s">
        <v>571</v>
      </c>
      <c r="D72" s="1471" t="s">
        <v>582</v>
      </c>
      <c r="E72" s="576" t="s">
        <v>655</v>
      </c>
      <c r="F72" s="1476" t="s">
        <v>572</v>
      </c>
      <c r="G72" s="1476"/>
      <c r="H72" s="1476"/>
      <c r="I72" s="1476"/>
      <c r="J72" s="1476"/>
      <c r="K72" s="1476" t="s">
        <v>576</v>
      </c>
      <c r="L72" s="1476"/>
      <c r="M72" s="1476"/>
      <c r="N72" s="1476" t="s">
        <v>580</v>
      </c>
      <c r="O72" s="1476" t="s">
        <v>581</v>
      </c>
    </row>
    <row r="73" spans="2:15" ht="28" x14ac:dyDescent="0.3">
      <c r="B73" s="1556"/>
      <c r="C73" s="1556"/>
      <c r="D73" s="1556"/>
      <c r="E73" s="577" t="s">
        <v>657</v>
      </c>
      <c r="F73" s="575" t="s">
        <v>578</v>
      </c>
      <c r="G73" s="575" t="s">
        <v>573</v>
      </c>
      <c r="H73" s="575" t="s">
        <v>659</v>
      </c>
      <c r="I73" s="577" t="s">
        <v>574</v>
      </c>
      <c r="J73" s="577" t="s">
        <v>575</v>
      </c>
      <c r="K73" s="577" t="s">
        <v>577</v>
      </c>
      <c r="L73" s="577" t="s">
        <v>579</v>
      </c>
      <c r="M73" s="577" t="s">
        <v>658</v>
      </c>
      <c r="N73" s="1476"/>
      <c r="O73" s="1476"/>
    </row>
    <row r="74" spans="2:15" x14ac:dyDescent="0.3">
      <c r="B74" s="1794">
        <f>B73+1</f>
        <v>1</v>
      </c>
      <c r="C74" s="1797"/>
      <c r="D74" s="128" t="s">
        <v>279</v>
      </c>
      <c r="E74" s="1785" t="s">
        <v>839</v>
      </c>
      <c r="F74" s="1786"/>
      <c r="G74" s="1786"/>
      <c r="H74" s="1786"/>
      <c r="I74" s="1786"/>
      <c r="J74" s="1786"/>
      <c r="K74" s="1786"/>
      <c r="L74" s="1786"/>
      <c r="M74" s="1786"/>
      <c r="N74" s="1786"/>
      <c r="O74" s="1787"/>
    </row>
    <row r="75" spans="2:15" x14ac:dyDescent="0.3">
      <c r="B75" s="1795"/>
      <c r="C75" s="1798"/>
      <c r="D75" s="128" t="s">
        <v>280</v>
      </c>
      <c r="E75" s="1788"/>
      <c r="F75" s="1789"/>
      <c r="G75" s="1789"/>
      <c r="H75" s="1789"/>
      <c r="I75" s="1789"/>
      <c r="J75" s="1789"/>
      <c r="K75" s="1789"/>
      <c r="L75" s="1789"/>
      <c r="M75" s="1789"/>
      <c r="N75" s="1789"/>
      <c r="O75" s="1790"/>
    </row>
    <row r="76" spans="2:15" x14ac:dyDescent="0.3">
      <c r="B76" s="1795"/>
      <c r="C76" s="1798"/>
      <c r="D76" s="128" t="s">
        <v>281</v>
      </c>
      <c r="E76" s="1788"/>
      <c r="F76" s="1789"/>
      <c r="G76" s="1789"/>
      <c r="H76" s="1789"/>
      <c r="I76" s="1789"/>
      <c r="J76" s="1789"/>
      <c r="K76" s="1789"/>
      <c r="L76" s="1789"/>
      <c r="M76" s="1789"/>
      <c r="N76" s="1789"/>
      <c r="O76" s="1790"/>
    </row>
    <row r="77" spans="2:15" x14ac:dyDescent="0.3">
      <c r="B77" s="1795"/>
      <c r="C77" s="1798"/>
      <c r="D77" s="128" t="s">
        <v>583</v>
      </c>
      <c r="E77" s="1788"/>
      <c r="F77" s="1789"/>
      <c r="G77" s="1789"/>
      <c r="H77" s="1789"/>
      <c r="I77" s="1789"/>
      <c r="J77" s="1789"/>
      <c r="K77" s="1789"/>
      <c r="L77" s="1789"/>
      <c r="M77" s="1789"/>
      <c r="N77" s="1789"/>
      <c r="O77" s="1790"/>
    </row>
    <row r="78" spans="2:15" x14ac:dyDescent="0.3">
      <c r="B78" s="1795"/>
      <c r="C78" s="1798"/>
      <c r="D78" s="128" t="s">
        <v>283</v>
      </c>
      <c r="E78" s="1788"/>
      <c r="F78" s="1789"/>
      <c r="G78" s="1789"/>
      <c r="H78" s="1789"/>
      <c r="I78" s="1789"/>
      <c r="J78" s="1789"/>
      <c r="K78" s="1789"/>
      <c r="L78" s="1789"/>
      <c r="M78" s="1789"/>
      <c r="N78" s="1789"/>
      <c r="O78" s="1790"/>
    </row>
    <row r="79" spans="2:15" x14ac:dyDescent="0.3">
      <c r="B79" s="1795"/>
      <c r="C79" s="1798"/>
      <c r="D79" s="128" t="s">
        <v>284</v>
      </c>
      <c r="E79" s="1788"/>
      <c r="F79" s="1789"/>
      <c r="G79" s="1789"/>
      <c r="H79" s="1789"/>
      <c r="I79" s="1789"/>
      <c r="J79" s="1789"/>
      <c r="K79" s="1789"/>
      <c r="L79" s="1789"/>
      <c r="M79" s="1789"/>
      <c r="N79" s="1789"/>
      <c r="O79" s="1790"/>
    </row>
    <row r="80" spans="2:15" x14ac:dyDescent="0.3">
      <c r="B80" s="1795"/>
      <c r="C80" s="1798"/>
      <c r="D80" s="128" t="s">
        <v>285</v>
      </c>
      <c r="E80" s="1788"/>
      <c r="F80" s="1789"/>
      <c r="G80" s="1789"/>
      <c r="H80" s="1789"/>
      <c r="I80" s="1789"/>
      <c r="J80" s="1789"/>
      <c r="K80" s="1789"/>
      <c r="L80" s="1789"/>
      <c r="M80" s="1789"/>
      <c r="N80" s="1789"/>
      <c r="O80" s="1790"/>
    </row>
    <row r="81" spans="2:15" x14ac:dyDescent="0.3">
      <c r="B81" s="1795"/>
      <c r="C81" s="1798"/>
      <c r="D81" s="128" t="s">
        <v>584</v>
      </c>
      <c r="E81" s="1788"/>
      <c r="F81" s="1789"/>
      <c r="G81" s="1789"/>
      <c r="H81" s="1789"/>
      <c r="I81" s="1789"/>
      <c r="J81" s="1789"/>
      <c r="K81" s="1789"/>
      <c r="L81" s="1789"/>
      <c r="M81" s="1789"/>
      <c r="N81" s="1789"/>
      <c r="O81" s="1790"/>
    </row>
    <row r="82" spans="2:15" x14ac:dyDescent="0.3">
      <c r="B82" s="1795"/>
      <c r="C82" s="1798"/>
      <c r="D82" s="128" t="s">
        <v>287</v>
      </c>
      <c r="E82" s="1788"/>
      <c r="F82" s="1789"/>
      <c r="G82" s="1789"/>
      <c r="H82" s="1789"/>
      <c r="I82" s="1789"/>
      <c r="J82" s="1789"/>
      <c r="K82" s="1789"/>
      <c r="L82" s="1789"/>
      <c r="M82" s="1789"/>
      <c r="N82" s="1789"/>
      <c r="O82" s="1790"/>
    </row>
    <row r="83" spans="2:15" x14ac:dyDescent="0.3">
      <c r="B83" s="1795"/>
      <c r="C83" s="1798"/>
      <c r="D83" s="128" t="s">
        <v>288</v>
      </c>
      <c r="E83" s="1788"/>
      <c r="F83" s="1789"/>
      <c r="G83" s="1789"/>
      <c r="H83" s="1789"/>
      <c r="I83" s="1789"/>
      <c r="J83" s="1789"/>
      <c r="K83" s="1789"/>
      <c r="L83" s="1789"/>
      <c r="M83" s="1789"/>
      <c r="N83" s="1789"/>
      <c r="O83" s="1790"/>
    </row>
    <row r="84" spans="2:15" x14ac:dyDescent="0.3">
      <c r="B84" s="1795"/>
      <c r="C84" s="1798"/>
      <c r="D84" s="128" t="s">
        <v>289</v>
      </c>
      <c r="E84" s="1788"/>
      <c r="F84" s="1789"/>
      <c r="G84" s="1789"/>
      <c r="H84" s="1789"/>
      <c r="I84" s="1789"/>
      <c r="J84" s="1789"/>
      <c r="K84" s="1789"/>
      <c r="L84" s="1789"/>
      <c r="M84" s="1789"/>
      <c r="N84" s="1789"/>
      <c r="O84" s="1790"/>
    </row>
    <row r="85" spans="2:15" x14ac:dyDescent="0.3">
      <c r="B85" s="1796"/>
      <c r="C85" s="1799"/>
      <c r="D85" s="128" t="s">
        <v>290</v>
      </c>
      <c r="E85" s="1788"/>
      <c r="F85" s="1789"/>
      <c r="G85" s="1789"/>
      <c r="H85" s="1789"/>
      <c r="I85" s="1789"/>
      <c r="J85" s="1789"/>
      <c r="K85" s="1789"/>
      <c r="L85" s="1789"/>
      <c r="M85" s="1789"/>
      <c r="N85" s="1789"/>
      <c r="O85" s="1790"/>
    </row>
    <row r="86" spans="2:15" x14ac:dyDescent="0.3">
      <c r="B86" s="1794">
        <f>B74+1</f>
        <v>2</v>
      </c>
      <c r="C86" s="1797"/>
      <c r="D86" s="128" t="s">
        <v>279</v>
      </c>
      <c r="E86" s="1788"/>
      <c r="F86" s="1789"/>
      <c r="G86" s="1789"/>
      <c r="H86" s="1789"/>
      <c r="I86" s="1789"/>
      <c r="J86" s="1789"/>
      <c r="K86" s="1789"/>
      <c r="L86" s="1789"/>
      <c r="M86" s="1789"/>
      <c r="N86" s="1789"/>
      <c r="O86" s="1790"/>
    </row>
    <row r="87" spans="2:15" x14ac:dyDescent="0.3">
      <c r="B87" s="1795"/>
      <c r="C87" s="1798"/>
      <c r="D87" s="128" t="s">
        <v>280</v>
      </c>
      <c r="E87" s="1788"/>
      <c r="F87" s="1789"/>
      <c r="G87" s="1789"/>
      <c r="H87" s="1789"/>
      <c r="I87" s="1789"/>
      <c r="J87" s="1789"/>
      <c r="K87" s="1789"/>
      <c r="L87" s="1789"/>
      <c r="M87" s="1789"/>
      <c r="N87" s="1789"/>
      <c r="O87" s="1790"/>
    </row>
    <row r="88" spans="2:15" x14ac:dyDescent="0.3">
      <c r="B88" s="1795"/>
      <c r="C88" s="1798"/>
      <c r="D88" s="128" t="s">
        <v>281</v>
      </c>
      <c r="E88" s="1788"/>
      <c r="F88" s="1789"/>
      <c r="G88" s="1789"/>
      <c r="H88" s="1789"/>
      <c r="I88" s="1789"/>
      <c r="J88" s="1789"/>
      <c r="K88" s="1789"/>
      <c r="L88" s="1789"/>
      <c r="M88" s="1789"/>
      <c r="N88" s="1789"/>
      <c r="O88" s="1790"/>
    </row>
    <row r="89" spans="2:15" x14ac:dyDescent="0.3">
      <c r="B89" s="1795"/>
      <c r="C89" s="1798"/>
      <c r="D89" s="128" t="s">
        <v>583</v>
      </c>
      <c r="E89" s="1788"/>
      <c r="F89" s="1789"/>
      <c r="G89" s="1789"/>
      <c r="H89" s="1789"/>
      <c r="I89" s="1789"/>
      <c r="J89" s="1789"/>
      <c r="K89" s="1789"/>
      <c r="L89" s="1789"/>
      <c r="M89" s="1789"/>
      <c r="N89" s="1789"/>
      <c r="O89" s="1790"/>
    </row>
    <row r="90" spans="2:15" x14ac:dyDescent="0.3">
      <c r="B90" s="1795"/>
      <c r="C90" s="1798"/>
      <c r="D90" s="128" t="s">
        <v>283</v>
      </c>
      <c r="E90" s="1788"/>
      <c r="F90" s="1789"/>
      <c r="G90" s="1789"/>
      <c r="H90" s="1789"/>
      <c r="I90" s="1789"/>
      <c r="J90" s="1789"/>
      <c r="K90" s="1789"/>
      <c r="L90" s="1789"/>
      <c r="M90" s="1789"/>
      <c r="N90" s="1789"/>
      <c r="O90" s="1790"/>
    </row>
    <row r="91" spans="2:15" x14ac:dyDescent="0.3">
      <c r="B91" s="1795"/>
      <c r="C91" s="1798"/>
      <c r="D91" s="128" t="s">
        <v>284</v>
      </c>
      <c r="E91" s="1788"/>
      <c r="F91" s="1789"/>
      <c r="G91" s="1789"/>
      <c r="H91" s="1789"/>
      <c r="I91" s="1789"/>
      <c r="J91" s="1789"/>
      <c r="K91" s="1789"/>
      <c r="L91" s="1789"/>
      <c r="M91" s="1789"/>
      <c r="N91" s="1789"/>
      <c r="O91" s="1790"/>
    </row>
    <row r="92" spans="2:15" x14ac:dyDescent="0.3">
      <c r="B92" s="1795"/>
      <c r="C92" s="1798"/>
      <c r="D92" s="128" t="s">
        <v>285</v>
      </c>
      <c r="E92" s="1788"/>
      <c r="F92" s="1789"/>
      <c r="G92" s="1789"/>
      <c r="H92" s="1789"/>
      <c r="I92" s="1789"/>
      <c r="J92" s="1789"/>
      <c r="K92" s="1789"/>
      <c r="L92" s="1789"/>
      <c r="M92" s="1789"/>
      <c r="N92" s="1789"/>
      <c r="O92" s="1790"/>
    </row>
    <row r="93" spans="2:15" x14ac:dyDescent="0.3">
      <c r="B93" s="1795"/>
      <c r="C93" s="1798"/>
      <c r="D93" s="128" t="s">
        <v>584</v>
      </c>
      <c r="E93" s="1788"/>
      <c r="F93" s="1789"/>
      <c r="G93" s="1789"/>
      <c r="H93" s="1789"/>
      <c r="I93" s="1789"/>
      <c r="J93" s="1789"/>
      <c r="K93" s="1789"/>
      <c r="L93" s="1789"/>
      <c r="M93" s="1789"/>
      <c r="N93" s="1789"/>
      <c r="O93" s="1790"/>
    </row>
    <row r="94" spans="2:15" x14ac:dyDescent="0.3">
      <c r="B94" s="1795"/>
      <c r="C94" s="1798"/>
      <c r="D94" s="128" t="s">
        <v>287</v>
      </c>
      <c r="E94" s="1788"/>
      <c r="F94" s="1789"/>
      <c r="G94" s="1789"/>
      <c r="H94" s="1789"/>
      <c r="I94" s="1789"/>
      <c r="J94" s="1789"/>
      <c r="K94" s="1789"/>
      <c r="L94" s="1789"/>
      <c r="M94" s="1789"/>
      <c r="N94" s="1789"/>
      <c r="O94" s="1790"/>
    </row>
    <row r="95" spans="2:15" x14ac:dyDescent="0.3">
      <c r="B95" s="1795"/>
      <c r="C95" s="1798"/>
      <c r="D95" s="128" t="s">
        <v>288</v>
      </c>
      <c r="E95" s="1788"/>
      <c r="F95" s="1789"/>
      <c r="G95" s="1789"/>
      <c r="H95" s="1789"/>
      <c r="I95" s="1789"/>
      <c r="J95" s="1789"/>
      <c r="K95" s="1789"/>
      <c r="L95" s="1789"/>
      <c r="M95" s="1789"/>
      <c r="N95" s="1789"/>
      <c r="O95" s="1790"/>
    </row>
    <row r="96" spans="2:15" x14ac:dyDescent="0.3">
      <c r="B96" s="1795"/>
      <c r="C96" s="1798"/>
      <c r="D96" s="128" t="s">
        <v>289</v>
      </c>
      <c r="E96" s="1788"/>
      <c r="F96" s="1789"/>
      <c r="G96" s="1789"/>
      <c r="H96" s="1789"/>
      <c r="I96" s="1789"/>
      <c r="J96" s="1789"/>
      <c r="K96" s="1789"/>
      <c r="L96" s="1789"/>
      <c r="M96" s="1789"/>
      <c r="N96" s="1789"/>
      <c r="O96" s="1790"/>
    </row>
    <row r="97" spans="2:15" x14ac:dyDescent="0.3">
      <c r="B97" s="1796"/>
      <c r="C97" s="1799"/>
      <c r="D97" s="128" t="s">
        <v>290</v>
      </c>
      <c r="E97" s="1788"/>
      <c r="F97" s="1789"/>
      <c r="G97" s="1789"/>
      <c r="H97" s="1789"/>
      <c r="I97" s="1789"/>
      <c r="J97" s="1789"/>
      <c r="K97" s="1789"/>
      <c r="L97" s="1789"/>
      <c r="M97" s="1789"/>
      <c r="N97" s="1789"/>
      <c r="O97" s="1790"/>
    </row>
    <row r="98" spans="2:15" x14ac:dyDescent="0.3">
      <c r="B98" s="101">
        <v>3</v>
      </c>
      <c r="C98" s="127"/>
      <c r="D98" s="127"/>
      <c r="E98" s="1788"/>
      <c r="F98" s="1789"/>
      <c r="G98" s="1789"/>
      <c r="H98" s="1789"/>
      <c r="I98" s="1789"/>
      <c r="J98" s="1789"/>
      <c r="K98" s="1789"/>
      <c r="L98" s="1789"/>
      <c r="M98" s="1789"/>
      <c r="N98" s="1789"/>
      <c r="O98" s="1790"/>
    </row>
    <row r="99" spans="2:15" x14ac:dyDescent="0.3">
      <c r="B99" s="101" t="s">
        <v>489</v>
      </c>
      <c r="C99" s="129"/>
      <c r="D99" s="129"/>
      <c r="E99" s="1791"/>
      <c r="F99" s="1792"/>
      <c r="G99" s="1792"/>
      <c r="H99" s="1792"/>
      <c r="I99" s="1792"/>
      <c r="J99" s="1792"/>
      <c r="K99" s="1792"/>
      <c r="L99" s="1792"/>
      <c r="M99" s="1792"/>
      <c r="N99" s="1792"/>
      <c r="O99" s="1793"/>
    </row>
    <row r="101" spans="2:15" x14ac:dyDescent="0.3">
      <c r="B101" s="1800" t="s">
        <v>763</v>
      </c>
      <c r="C101" s="1800"/>
      <c r="D101" s="579"/>
      <c r="E101" s="13"/>
      <c r="F101" s="13"/>
      <c r="G101" s="13"/>
      <c r="H101" s="13"/>
      <c r="I101" s="13"/>
      <c r="J101" s="13"/>
      <c r="K101" s="13"/>
      <c r="L101" s="13"/>
    </row>
    <row r="103" spans="2:15" ht="42" x14ac:dyDescent="0.3">
      <c r="B103" s="1471" t="s">
        <v>343</v>
      </c>
      <c r="C103" s="1471" t="s">
        <v>571</v>
      </c>
      <c r="D103" s="1471" t="s">
        <v>582</v>
      </c>
      <c r="E103" s="576" t="s">
        <v>655</v>
      </c>
      <c r="F103" s="1476" t="s">
        <v>572</v>
      </c>
      <c r="G103" s="1476"/>
      <c r="H103" s="1476"/>
      <c r="I103" s="1476"/>
      <c r="J103" s="1476"/>
      <c r="K103" s="1476" t="s">
        <v>576</v>
      </c>
      <c r="L103" s="1476"/>
      <c r="M103" s="1476"/>
      <c r="N103" s="1476" t="s">
        <v>772</v>
      </c>
      <c r="O103" s="1476" t="s">
        <v>581</v>
      </c>
    </row>
    <row r="104" spans="2:15" ht="28" x14ac:dyDescent="0.3">
      <c r="B104" s="1556"/>
      <c r="C104" s="1556"/>
      <c r="D104" s="1556"/>
      <c r="E104" s="577" t="s">
        <v>657</v>
      </c>
      <c r="F104" s="575" t="s">
        <v>578</v>
      </c>
      <c r="G104" s="575" t="s">
        <v>573</v>
      </c>
      <c r="H104" s="575" t="s">
        <v>659</v>
      </c>
      <c r="I104" s="577" t="s">
        <v>697</v>
      </c>
      <c r="J104" s="577" t="s">
        <v>770</v>
      </c>
      <c r="K104" s="577" t="s">
        <v>577</v>
      </c>
      <c r="L104" s="577" t="s">
        <v>771</v>
      </c>
      <c r="M104" s="577" t="s">
        <v>658</v>
      </c>
      <c r="N104" s="1476"/>
      <c r="O104" s="1476"/>
    </row>
    <row r="105" spans="2:15" x14ac:dyDescent="0.3">
      <c r="B105" s="1794">
        <f>B104+1</f>
        <v>1</v>
      </c>
      <c r="C105" s="1797"/>
      <c r="D105" s="128" t="s">
        <v>279</v>
      </c>
      <c r="E105" s="1785" t="s">
        <v>839</v>
      </c>
      <c r="F105" s="1786"/>
      <c r="G105" s="1786"/>
      <c r="H105" s="1786"/>
      <c r="I105" s="1786"/>
      <c r="J105" s="1786"/>
      <c r="K105" s="1786"/>
      <c r="L105" s="1786"/>
      <c r="M105" s="1786"/>
      <c r="N105" s="1786"/>
      <c r="O105" s="1787"/>
    </row>
    <row r="106" spans="2:15" x14ac:dyDescent="0.3">
      <c r="B106" s="1795"/>
      <c r="C106" s="1798"/>
      <c r="D106" s="128" t="s">
        <v>280</v>
      </c>
      <c r="E106" s="1788"/>
      <c r="F106" s="1789"/>
      <c r="G106" s="1789"/>
      <c r="H106" s="1789"/>
      <c r="I106" s="1789"/>
      <c r="J106" s="1789"/>
      <c r="K106" s="1789"/>
      <c r="L106" s="1789"/>
      <c r="M106" s="1789"/>
      <c r="N106" s="1789"/>
      <c r="O106" s="1790"/>
    </row>
    <row r="107" spans="2:15" x14ac:dyDescent="0.3">
      <c r="B107" s="1795"/>
      <c r="C107" s="1798"/>
      <c r="D107" s="128" t="s">
        <v>281</v>
      </c>
      <c r="E107" s="1788"/>
      <c r="F107" s="1789"/>
      <c r="G107" s="1789"/>
      <c r="H107" s="1789"/>
      <c r="I107" s="1789"/>
      <c r="J107" s="1789"/>
      <c r="K107" s="1789"/>
      <c r="L107" s="1789"/>
      <c r="M107" s="1789"/>
      <c r="N107" s="1789"/>
      <c r="O107" s="1790"/>
    </row>
    <row r="108" spans="2:15" x14ac:dyDescent="0.3">
      <c r="B108" s="1795"/>
      <c r="C108" s="1798"/>
      <c r="D108" s="128" t="s">
        <v>583</v>
      </c>
      <c r="E108" s="1788"/>
      <c r="F108" s="1789"/>
      <c r="G108" s="1789"/>
      <c r="H108" s="1789"/>
      <c r="I108" s="1789"/>
      <c r="J108" s="1789"/>
      <c r="K108" s="1789"/>
      <c r="L108" s="1789"/>
      <c r="M108" s="1789"/>
      <c r="N108" s="1789"/>
      <c r="O108" s="1790"/>
    </row>
    <row r="109" spans="2:15" x14ac:dyDescent="0.3">
      <c r="B109" s="1795"/>
      <c r="C109" s="1798"/>
      <c r="D109" s="128" t="s">
        <v>283</v>
      </c>
      <c r="E109" s="1788"/>
      <c r="F109" s="1789"/>
      <c r="G109" s="1789"/>
      <c r="H109" s="1789"/>
      <c r="I109" s="1789"/>
      <c r="J109" s="1789"/>
      <c r="K109" s="1789"/>
      <c r="L109" s="1789"/>
      <c r="M109" s="1789"/>
      <c r="N109" s="1789"/>
      <c r="O109" s="1790"/>
    </row>
    <row r="110" spans="2:15" x14ac:dyDescent="0.3">
      <c r="B110" s="1795"/>
      <c r="C110" s="1798"/>
      <c r="D110" s="128" t="s">
        <v>284</v>
      </c>
      <c r="E110" s="1788"/>
      <c r="F110" s="1789"/>
      <c r="G110" s="1789"/>
      <c r="H110" s="1789"/>
      <c r="I110" s="1789"/>
      <c r="J110" s="1789"/>
      <c r="K110" s="1789"/>
      <c r="L110" s="1789"/>
      <c r="M110" s="1789"/>
      <c r="N110" s="1789"/>
      <c r="O110" s="1790"/>
    </row>
    <row r="111" spans="2:15" x14ac:dyDescent="0.3">
      <c r="B111" s="1795"/>
      <c r="C111" s="1798"/>
      <c r="D111" s="128" t="s">
        <v>285</v>
      </c>
      <c r="E111" s="1788"/>
      <c r="F111" s="1789"/>
      <c r="G111" s="1789"/>
      <c r="H111" s="1789"/>
      <c r="I111" s="1789"/>
      <c r="J111" s="1789"/>
      <c r="K111" s="1789"/>
      <c r="L111" s="1789"/>
      <c r="M111" s="1789"/>
      <c r="N111" s="1789"/>
      <c r="O111" s="1790"/>
    </row>
    <row r="112" spans="2:15" x14ac:dyDescent="0.3">
      <c r="B112" s="1795"/>
      <c r="C112" s="1798"/>
      <c r="D112" s="128" t="s">
        <v>584</v>
      </c>
      <c r="E112" s="1788"/>
      <c r="F112" s="1789"/>
      <c r="G112" s="1789"/>
      <c r="H112" s="1789"/>
      <c r="I112" s="1789"/>
      <c r="J112" s="1789"/>
      <c r="K112" s="1789"/>
      <c r="L112" s="1789"/>
      <c r="M112" s="1789"/>
      <c r="N112" s="1789"/>
      <c r="O112" s="1790"/>
    </row>
    <row r="113" spans="2:15" x14ac:dyDescent="0.3">
      <c r="B113" s="1795"/>
      <c r="C113" s="1798"/>
      <c r="D113" s="128" t="s">
        <v>287</v>
      </c>
      <c r="E113" s="1788"/>
      <c r="F113" s="1789"/>
      <c r="G113" s="1789"/>
      <c r="H113" s="1789"/>
      <c r="I113" s="1789"/>
      <c r="J113" s="1789"/>
      <c r="K113" s="1789"/>
      <c r="L113" s="1789"/>
      <c r="M113" s="1789"/>
      <c r="N113" s="1789"/>
      <c r="O113" s="1790"/>
    </row>
    <row r="114" spans="2:15" x14ac:dyDescent="0.3">
      <c r="B114" s="1795"/>
      <c r="C114" s="1798"/>
      <c r="D114" s="128" t="s">
        <v>288</v>
      </c>
      <c r="E114" s="1788"/>
      <c r="F114" s="1789"/>
      <c r="G114" s="1789"/>
      <c r="H114" s="1789"/>
      <c r="I114" s="1789"/>
      <c r="J114" s="1789"/>
      <c r="K114" s="1789"/>
      <c r="L114" s="1789"/>
      <c r="M114" s="1789"/>
      <c r="N114" s="1789"/>
      <c r="O114" s="1790"/>
    </row>
    <row r="115" spans="2:15" x14ac:dyDescent="0.3">
      <c r="B115" s="1795"/>
      <c r="C115" s="1798"/>
      <c r="D115" s="128" t="s">
        <v>289</v>
      </c>
      <c r="E115" s="1788"/>
      <c r="F115" s="1789"/>
      <c r="G115" s="1789"/>
      <c r="H115" s="1789"/>
      <c r="I115" s="1789"/>
      <c r="J115" s="1789"/>
      <c r="K115" s="1789"/>
      <c r="L115" s="1789"/>
      <c r="M115" s="1789"/>
      <c r="N115" s="1789"/>
      <c r="O115" s="1790"/>
    </row>
    <row r="116" spans="2:15" x14ac:dyDescent="0.3">
      <c r="B116" s="1796"/>
      <c r="C116" s="1799"/>
      <c r="D116" s="128" t="s">
        <v>290</v>
      </c>
      <c r="E116" s="1788"/>
      <c r="F116" s="1789"/>
      <c r="G116" s="1789"/>
      <c r="H116" s="1789"/>
      <c r="I116" s="1789"/>
      <c r="J116" s="1789"/>
      <c r="K116" s="1789"/>
      <c r="L116" s="1789"/>
      <c r="M116" s="1789"/>
      <c r="N116" s="1789"/>
      <c r="O116" s="1790"/>
    </row>
    <row r="117" spans="2:15" x14ac:dyDescent="0.3">
      <c r="B117" s="1794">
        <f>B105+1</f>
        <v>2</v>
      </c>
      <c r="C117" s="1797"/>
      <c r="D117" s="128" t="s">
        <v>279</v>
      </c>
      <c r="E117" s="1788"/>
      <c r="F117" s="1789"/>
      <c r="G117" s="1789"/>
      <c r="H117" s="1789"/>
      <c r="I117" s="1789"/>
      <c r="J117" s="1789"/>
      <c r="K117" s="1789"/>
      <c r="L117" s="1789"/>
      <c r="M117" s="1789"/>
      <c r="N117" s="1789"/>
      <c r="O117" s="1790"/>
    </row>
    <row r="118" spans="2:15" x14ac:dyDescent="0.3">
      <c r="B118" s="1795"/>
      <c r="C118" s="1798"/>
      <c r="D118" s="128" t="s">
        <v>280</v>
      </c>
      <c r="E118" s="1788"/>
      <c r="F118" s="1789"/>
      <c r="G118" s="1789"/>
      <c r="H118" s="1789"/>
      <c r="I118" s="1789"/>
      <c r="J118" s="1789"/>
      <c r="K118" s="1789"/>
      <c r="L118" s="1789"/>
      <c r="M118" s="1789"/>
      <c r="N118" s="1789"/>
      <c r="O118" s="1790"/>
    </row>
    <row r="119" spans="2:15" x14ac:dyDescent="0.3">
      <c r="B119" s="1795"/>
      <c r="C119" s="1798"/>
      <c r="D119" s="128" t="s">
        <v>281</v>
      </c>
      <c r="E119" s="1788"/>
      <c r="F119" s="1789"/>
      <c r="G119" s="1789"/>
      <c r="H119" s="1789"/>
      <c r="I119" s="1789"/>
      <c r="J119" s="1789"/>
      <c r="K119" s="1789"/>
      <c r="L119" s="1789"/>
      <c r="M119" s="1789"/>
      <c r="N119" s="1789"/>
      <c r="O119" s="1790"/>
    </row>
    <row r="120" spans="2:15" x14ac:dyDescent="0.3">
      <c r="B120" s="1795"/>
      <c r="C120" s="1798"/>
      <c r="D120" s="128" t="s">
        <v>583</v>
      </c>
      <c r="E120" s="1788"/>
      <c r="F120" s="1789"/>
      <c r="G120" s="1789"/>
      <c r="H120" s="1789"/>
      <c r="I120" s="1789"/>
      <c r="J120" s="1789"/>
      <c r="K120" s="1789"/>
      <c r="L120" s="1789"/>
      <c r="M120" s="1789"/>
      <c r="N120" s="1789"/>
      <c r="O120" s="1790"/>
    </row>
    <row r="121" spans="2:15" x14ac:dyDescent="0.3">
      <c r="B121" s="1795"/>
      <c r="C121" s="1798"/>
      <c r="D121" s="128" t="s">
        <v>283</v>
      </c>
      <c r="E121" s="1788"/>
      <c r="F121" s="1789"/>
      <c r="G121" s="1789"/>
      <c r="H121" s="1789"/>
      <c r="I121" s="1789"/>
      <c r="J121" s="1789"/>
      <c r="K121" s="1789"/>
      <c r="L121" s="1789"/>
      <c r="M121" s="1789"/>
      <c r="N121" s="1789"/>
      <c r="O121" s="1790"/>
    </row>
    <row r="122" spans="2:15" x14ac:dyDescent="0.3">
      <c r="B122" s="1795"/>
      <c r="C122" s="1798"/>
      <c r="D122" s="128" t="s">
        <v>284</v>
      </c>
      <c r="E122" s="1788"/>
      <c r="F122" s="1789"/>
      <c r="G122" s="1789"/>
      <c r="H122" s="1789"/>
      <c r="I122" s="1789"/>
      <c r="J122" s="1789"/>
      <c r="K122" s="1789"/>
      <c r="L122" s="1789"/>
      <c r="M122" s="1789"/>
      <c r="N122" s="1789"/>
      <c r="O122" s="1790"/>
    </row>
    <row r="123" spans="2:15" x14ac:dyDescent="0.3">
      <c r="B123" s="1795"/>
      <c r="C123" s="1798"/>
      <c r="D123" s="128" t="s">
        <v>285</v>
      </c>
      <c r="E123" s="1788"/>
      <c r="F123" s="1789"/>
      <c r="G123" s="1789"/>
      <c r="H123" s="1789"/>
      <c r="I123" s="1789"/>
      <c r="J123" s="1789"/>
      <c r="K123" s="1789"/>
      <c r="L123" s="1789"/>
      <c r="M123" s="1789"/>
      <c r="N123" s="1789"/>
      <c r="O123" s="1790"/>
    </row>
    <row r="124" spans="2:15" x14ac:dyDescent="0.3">
      <c r="B124" s="1795"/>
      <c r="C124" s="1798"/>
      <c r="D124" s="128" t="s">
        <v>584</v>
      </c>
      <c r="E124" s="1788"/>
      <c r="F124" s="1789"/>
      <c r="G124" s="1789"/>
      <c r="H124" s="1789"/>
      <c r="I124" s="1789"/>
      <c r="J124" s="1789"/>
      <c r="K124" s="1789"/>
      <c r="L124" s="1789"/>
      <c r="M124" s="1789"/>
      <c r="N124" s="1789"/>
      <c r="O124" s="1790"/>
    </row>
    <row r="125" spans="2:15" x14ac:dyDescent="0.3">
      <c r="B125" s="1795"/>
      <c r="C125" s="1798"/>
      <c r="D125" s="128" t="s">
        <v>287</v>
      </c>
      <c r="E125" s="1788"/>
      <c r="F125" s="1789"/>
      <c r="G125" s="1789"/>
      <c r="H125" s="1789"/>
      <c r="I125" s="1789"/>
      <c r="J125" s="1789"/>
      <c r="K125" s="1789"/>
      <c r="L125" s="1789"/>
      <c r="M125" s="1789"/>
      <c r="N125" s="1789"/>
      <c r="O125" s="1790"/>
    </row>
    <row r="126" spans="2:15" x14ac:dyDescent="0.3">
      <c r="B126" s="1795"/>
      <c r="C126" s="1798"/>
      <c r="D126" s="128" t="s">
        <v>288</v>
      </c>
      <c r="E126" s="1788"/>
      <c r="F126" s="1789"/>
      <c r="G126" s="1789"/>
      <c r="H126" s="1789"/>
      <c r="I126" s="1789"/>
      <c r="J126" s="1789"/>
      <c r="K126" s="1789"/>
      <c r="L126" s="1789"/>
      <c r="M126" s="1789"/>
      <c r="N126" s="1789"/>
      <c r="O126" s="1790"/>
    </row>
    <row r="127" spans="2:15" x14ac:dyDescent="0.3">
      <c r="B127" s="1795"/>
      <c r="C127" s="1798"/>
      <c r="D127" s="128" t="s">
        <v>289</v>
      </c>
      <c r="E127" s="1788"/>
      <c r="F127" s="1789"/>
      <c r="G127" s="1789"/>
      <c r="H127" s="1789"/>
      <c r="I127" s="1789"/>
      <c r="J127" s="1789"/>
      <c r="K127" s="1789"/>
      <c r="L127" s="1789"/>
      <c r="M127" s="1789"/>
      <c r="N127" s="1789"/>
      <c r="O127" s="1790"/>
    </row>
    <row r="128" spans="2:15" x14ac:dyDescent="0.3">
      <c r="B128" s="1796"/>
      <c r="C128" s="1799"/>
      <c r="D128" s="128" t="s">
        <v>290</v>
      </c>
      <c r="E128" s="1788"/>
      <c r="F128" s="1789"/>
      <c r="G128" s="1789"/>
      <c r="H128" s="1789"/>
      <c r="I128" s="1789"/>
      <c r="J128" s="1789"/>
      <c r="K128" s="1789"/>
      <c r="L128" s="1789"/>
      <c r="M128" s="1789"/>
      <c r="N128" s="1789"/>
      <c r="O128" s="1790"/>
    </row>
    <row r="129" spans="2:15" x14ac:dyDescent="0.3">
      <c r="B129" s="101">
        <v>3</v>
      </c>
      <c r="C129" s="127"/>
      <c r="D129" s="127"/>
      <c r="E129" s="1788"/>
      <c r="F129" s="1789"/>
      <c r="G129" s="1789"/>
      <c r="H129" s="1789"/>
      <c r="I129" s="1789"/>
      <c r="J129" s="1789"/>
      <c r="K129" s="1789"/>
      <c r="L129" s="1789"/>
      <c r="M129" s="1789"/>
      <c r="N129" s="1789"/>
      <c r="O129" s="1790"/>
    </row>
    <row r="130" spans="2:15" x14ac:dyDescent="0.3">
      <c r="B130" s="101" t="s">
        <v>489</v>
      </c>
      <c r="C130" s="129"/>
      <c r="D130" s="129"/>
      <c r="E130" s="1791"/>
      <c r="F130" s="1792"/>
      <c r="G130" s="1792"/>
      <c r="H130" s="1792"/>
      <c r="I130" s="1792"/>
      <c r="J130" s="1792"/>
      <c r="K130" s="1792"/>
      <c r="L130" s="1792"/>
      <c r="M130" s="1792"/>
      <c r="N130" s="1792"/>
      <c r="O130" s="1793"/>
    </row>
    <row r="132" spans="2:15" x14ac:dyDescent="0.3">
      <c r="B132" s="289" t="s">
        <v>761</v>
      </c>
    </row>
    <row r="135" spans="2:15" x14ac:dyDescent="0.3">
      <c r="B135" s="1800" t="s">
        <v>764</v>
      </c>
      <c r="C135" s="1800"/>
      <c r="D135" s="579"/>
      <c r="E135" s="13"/>
      <c r="F135" s="13"/>
      <c r="G135" s="13"/>
      <c r="H135" s="13"/>
      <c r="I135" s="13"/>
      <c r="J135" s="13"/>
      <c r="K135" s="13"/>
      <c r="L135" s="13"/>
    </row>
    <row r="137" spans="2:15" ht="42" x14ac:dyDescent="0.3">
      <c r="B137" s="1471" t="s">
        <v>343</v>
      </c>
      <c r="C137" s="1471" t="s">
        <v>571</v>
      </c>
      <c r="D137" s="1471" t="s">
        <v>582</v>
      </c>
      <c r="E137" s="576" t="s">
        <v>655</v>
      </c>
      <c r="F137" s="1476" t="s">
        <v>572</v>
      </c>
      <c r="G137" s="1476"/>
      <c r="H137" s="1476"/>
      <c r="I137" s="1476"/>
      <c r="J137" s="1476"/>
      <c r="K137" s="1476" t="s">
        <v>576</v>
      </c>
      <c r="L137" s="1476"/>
      <c r="M137" s="1476"/>
      <c r="N137" s="1476" t="s">
        <v>580</v>
      </c>
      <c r="O137" s="1476" t="s">
        <v>581</v>
      </c>
    </row>
    <row r="138" spans="2:15" ht="28" x14ac:dyDescent="0.3">
      <c r="B138" s="1556"/>
      <c r="C138" s="1556"/>
      <c r="D138" s="1556"/>
      <c r="E138" s="577" t="s">
        <v>657</v>
      </c>
      <c r="F138" s="575" t="s">
        <v>578</v>
      </c>
      <c r="G138" s="575" t="s">
        <v>573</v>
      </c>
      <c r="H138" s="575" t="s">
        <v>659</v>
      </c>
      <c r="I138" s="577" t="s">
        <v>574</v>
      </c>
      <c r="J138" s="577" t="s">
        <v>575</v>
      </c>
      <c r="K138" s="577" t="s">
        <v>577</v>
      </c>
      <c r="L138" s="577" t="s">
        <v>579</v>
      </c>
      <c r="M138" s="577" t="s">
        <v>658</v>
      </c>
      <c r="N138" s="1476"/>
      <c r="O138" s="1476"/>
    </row>
    <row r="139" spans="2:15" x14ac:dyDescent="0.3">
      <c r="B139" s="1794">
        <f>B138+1</f>
        <v>1</v>
      </c>
      <c r="C139" s="1797"/>
      <c r="D139" s="128" t="s">
        <v>279</v>
      </c>
      <c r="E139" s="1785" t="s">
        <v>839</v>
      </c>
      <c r="F139" s="1786"/>
      <c r="G139" s="1786"/>
      <c r="H139" s="1786"/>
      <c r="I139" s="1786"/>
      <c r="J139" s="1786"/>
      <c r="K139" s="1786"/>
      <c r="L139" s="1786"/>
      <c r="M139" s="1786"/>
      <c r="N139" s="1786"/>
      <c r="O139" s="1787"/>
    </row>
    <row r="140" spans="2:15" x14ac:dyDescent="0.3">
      <c r="B140" s="1795"/>
      <c r="C140" s="1798"/>
      <c r="D140" s="128" t="s">
        <v>280</v>
      </c>
      <c r="E140" s="1788"/>
      <c r="F140" s="1789"/>
      <c r="G140" s="1789"/>
      <c r="H140" s="1789"/>
      <c r="I140" s="1789"/>
      <c r="J140" s="1789"/>
      <c r="K140" s="1789"/>
      <c r="L140" s="1789"/>
      <c r="M140" s="1789"/>
      <c r="N140" s="1789"/>
      <c r="O140" s="1790"/>
    </row>
    <row r="141" spans="2:15" x14ac:dyDescent="0.3">
      <c r="B141" s="1795"/>
      <c r="C141" s="1798"/>
      <c r="D141" s="128" t="s">
        <v>281</v>
      </c>
      <c r="E141" s="1788"/>
      <c r="F141" s="1789"/>
      <c r="G141" s="1789"/>
      <c r="H141" s="1789"/>
      <c r="I141" s="1789"/>
      <c r="J141" s="1789"/>
      <c r="K141" s="1789"/>
      <c r="L141" s="1789"/>
      <c r="M141" s="1789"/>
      <c r="N141" s="1789"/>
      <c r="O141" s="1790"/>
    </row>
    <row r="142" spans="2:15" x14ac:dyDescent="0.3">
      <c r="B142" s="1795"/>
      <c r="C142" s="1798"/>
      <c r="D142" s="128" t="s">
        <v>583</v>
      </c>
      <c r="E142" s="1788"/>
      <c r="F142" s="1789"/>
      <c r="G142" s="1789"/>
      <c r="H142" s="1789"/>
      <c r="I142" s="1789"/>
      <c r="J142" s="1789"/>
      <c r="K142" s="1789"/>
      <c r="L142" s="1789"/>
      <c r="M142" s="1789"/>
      <c r="N142" s="1789"/>
      <c r="O142" s="1790"/>
    </row>
    <row r="143" spans="2:15" x14ac:dyDescent="0.3">
      <c r="B143" s="1795"/>
      <c r="C143" s="1798"/>
      <c r="D143" s="128" t="s">
        <v>283</v>
      </c>
      <c r="E143" s="1788"/>
      <c r="F143" s="1789"/>
      <c r="G143" s="1789"/>
      <c r="H143" s="1789"/>
      <c r="I143" s="1789"/>
      <c r="J143" s="1789"/>
      <c r="K143" s="1789"/>
      <c r="L143" s="1789"/>
      <c r="M143" s="1789"/>
      <c r="N143" s="1789"/>
      <c r="O143" s="1790"/>
    </row>
    <row r="144" spans="2:15" x14ac:dyDescent="0.3">
      <c r="B144" s="1795"/>
      <c r="C144" s="1798"/>
      <c r="D144" s="128" t="s">
        <v>284</v>
      </c>
      <c r="E144" s="1788"/>
      <c r="F144" s="1789"/>
      <c r="G144" s="1789"/>
      <c r="H144" s="1789"/>
      <c r="I144" s="1789"/>
      <c r="J144" s="1789"/>
      <c r="K144" s="1789"/>
      <c r="L144" s="1789"/>
      <c r="M144" s="1789"/>
      <c r="N144" s="1789"/>
      <c r="O144" s="1790"/>
    </row>
    <row r="145" spans="2:15" x14ac:dyDescent="0.3">
      <c r="B145" s="1795"/>
      <c r="C145" s="1798"/>
      <c r="D145" s="128" t="s">
        <v>285</v>
      </c>
      <c r="E145" s="1788"/>
      <c r="F145" s="1789"/>
      <c r="G145" s="1789"/>
      <c r="H145" s="1789"/>
      <c r="I145" s="1789"/>
      <c r="J145" s="1789"/>
      <c r="K145" s="1789"/>
      <c r="L145" s="1789"/>
      <c r="M145" s="1789"/>
      <c r="N145" s="1789"/>
      <c r="O145" s="1790"/>
    </row>
    <row r="146" spans="2:15" x14ac:dyDescent="0.3">
      <c r="B146" s="1795"/>
      <c r="C146" s="1798"/>
      <c r="D146" s="128" t="s">
        <v>584</v>
      </c>
      <c r="E146" s="1788"/>
      <c r="F146" s="1789"/>
      <c r="G146" s="1789"/>
      <c r="H146" s="1789"/>
      <c r="I146" s="1789"/>
      <c r="J146" s="1789"/>
      <c r="K146" s="1789"/>
      <c r="L146" s="1789"/>
      <c r="M146" s="1789"/>
      <c r="N146" s="1789"/>
      <c r="O146" s="1790"/>
    </row>
    <row r="147" spans="2:15" x14ac:dyDescent="0.3">
      <c r="B147" s="1795"/>
      <c r="C147" s="1798"/>
      <c r="D147" s="128" t="s">
        <v>287</v>
      </c>
      <c r="E147" s="1788"/>
      <c r="F147" s="1789"/>
      <c r="G147" s="1789"/>
      <c r="H147" s="1789"/>
      <c r="I147" s="1789"/>
      <c r="J147" s="1789"/>
      <c r="K147" s="1789"/>
      <c r="L147" s="1789"/>
      <c r="M147" s="1789"/>
      <c r="N147" s="1789"/>
      <c r="O147" s="1790"/>
    </row>
    <row r="148" spans="2:15" x14ac:dyDescent="0.3">
      <c r="B148" s="1795"/>
      <c r="C148" s="1798"/>
      <c r="D148" s="128" t="s">
        <v>288</v>
      </c>
      <c r="E148" s="1788"/>
      <c r="F148" s="1789"/>
      <c r="G148" s="1789"/>
      <c r="H148" s="1789"/>
      <c r="I148" s="1789"/>
      <c r="J148" s="1789"/>
      <c r="K148" s="1789"/>
      <c r="L148" s="1789"/>
      <c r="M148" s="1789"/>
      <c r="N148" s="1789"/>
      <c r="O148" s="1790"/>
    </row>
    <row r="149" spans="2:15" x14ac:dyDescent="0.3">
      <c r="B149" s="1795"/>
      <c r="C149" s="1798"/>
      <c r="D149" s="128" t="s">
        <v>289</v>
      </c>
      <c r="E149" s="1788"/>
      <c r="F149" s="1789"/>
      <c r="G149" s="1789"/>
      <c r="H149" s="1789"/>
      <c r="I149" s="1789"/>
      <c r="J149" s="1789"/>
      <c r="K149" s="1789"/>
      <c r="L149" s="1789"/>
      <c r="M149" s="1789"/>
      <c r="N149" s="1789"/>
      <c r="O149" s="1790"/>
    </row>
    <row r="150" spans="2:15" x14ac:dyDescent="0.3">
      <c r="B150" s="1796"/>
      <c r="C150" s="1799"/>
      <c r="D150" s="128" t="s">
        <v>290</v>
      </c>
      <c r="E150" s="1788"/>
      <c r="F150" s="1789"/>
      <c r="G150" s="1789"/>
      <c r="H150" s="1789"/>
      <c r="I150" s="1789"/>
      <c r="J150" s="1789"/>
      <c r="K150" s="1789"/>
      <c r="L150" s="1789"/>
      <c r="M150" s="1789"/>
      <c r="N150" s="1789"/>
      <c r="O150" s="1790"/>
    </row>
    <row r="151" spans="2:15" x14ac:dyDescent="0.3">
      <c r="B151" s="1794">
        <f>B139+1</f>
        <v>2</v>
      </c>
      <c r="C151" s="1797"/>
      <c r="D151" s="128" t="s">
        <v>279</v>
      </c>
      <c r="E151" s="1788"/>
      <c r="F151" s="1789"/>
      <c r="G151" s="1789"/>
      <c r="H151" s="1789"/>
      <c r="I151" s="1789"/>
      <c r="J151" s="1789"/>
      <c r="K151" s="1789"/>
      <c r="L151" s="1789"/>
      <c r="M151" s="1789"/>
      <c r="N151" s="1789"/>
      <c r="O151" s="1790"/>
    </row>
    <row r="152" spans="2:15" x14ac:dyDescent="0.3">
      <c r="B152" s="1795"/>
      <c r="C152" s="1798"/>
      <c r="D152" s="128" t="s">
        <v>280</v>
      </c>
      <c r="E152" s="1788"/>
      <c r="F152" s="1789"/>
      <c r="G152" s="1789"/>
      <c r="H152" s="1789"/>
      <c r="I152" s="1789"/>
      <c r="J152" s="1789"/>
      <c r="K152" s="1789"/>
      <c r="L152" s="1789"/>
      <c r="M152" s="1789"/>
      <c r="N152" s="1789"/>
      <c r="O152" s="1790"/>
    </row>
    <row r="153" spans="2:15" x14ac:dyDescent="0.3">
      <c r="B153" s="1795"/>
      <c r="C153" s="1798"/>
      <c r="D153" s="128" t="s">
        <v>281</v>
      </c>
      <c r="E153" s="1788"/>
      <c r="F153" s="1789"/>
      <c r="G153" s="1789"/>
      <c r="H153" s="1789"/>
      <c r="I153" s="1789"/>
      <c r="J153" s="1789"/>
      <c r="K153" s="1789"/>
      <c r="L153" s="1789"/>
      <c r="M153" s="1789"/>
      <c r="N153" s="1789"/>
      <c r="O153" s="1790"/>
    </row>
    <row r="154" spans="2:15" x14ac:dyDescent="0.3">
      <c r="B154" s="1795"/>
      <c r="C154" s="1798"/>
      <c r="D154" s="128" t="s">
        <v>583</v>
      </c>
      <c r="E154" s="1788"/>
      <c r="F154" s="1789"/>
      <c r="G154" s="1789"/>
      <c r="H154" s="1789"/>
      <c r="I154" s="1789"/>
      <c r="J154" s="1789"/>
      <c r="K154" s="1789"/>
      <c r="L154" s="1789"/>
      <c r="M154" s="1789"/>
      <c r="N154" s="1789"/>
      <c r="O154" s="1790"/>
    </row>
    <row r="155" spans="2:15" x14ac:dyDescent="0.3">
      <c r="B155" s="1795"/>
      <c r="C155" s="1798"/>
      <c r="D155" s="128" t="s">
        <v>283</v>
      </c>
      <c r="E155" s="1788"/>
      <c r="F155" s="1789"/>
      <c r="G155" s="1789"/>
      <c r="H155" s="1789"/>
      <c r="I155" s="1789"/>
      <c r="J155" s="1789"/>
      <c r="K155" s="1789"/>
      <c r="L155" s="1789"/>
      <c r="M155" s="1789"/>
      <c r="N155" s="1789"/>
      <c r="O155" s="1790"/>
    </row>
    <row r="156" spans="2:15" x14ac:dyDescent="0.3">
      <c r="B156" s="1795"/>
      <c r="C156" s="1798"/>
      <c r="D156" s="128" t="s">
        <v>284</v>
      </c>
      <c r="E156" s="1788"/>
      <c r="F156" s="1789"/>
      <c r="G156" s="1789"/>
      <c r="H156" s="1789"/>
      <c r="I156" s="1789"/>
      <c r="J156" s="1789"/>
      <c r="K156" s="1789"/>
      <c r="L156" s="1789"/>
      <c r="M156" s="1789"/>
      <c r="N156" s="1789"/>
      <c r="O156" s="1790"/>
    </row>
    <row r="157" spans="2:15" x14ac:dyDescent="0.3">
      <c r="B157" s="1795"/>
      <c r="C157" s="1798"/>
      <c r="D157" s="128" t="s">
        <v>285</v>
      </c>
      <c r="E157" s="1788"/>
      <c r="F157" s="1789"/>
      <c r="G157" s="1789"/>
      <c r="H157" s="1789"/>
      <c r="I157" s="1789"/>
      <c r="J157" s="1789"/>
      <c r="K157" s="1789"/>
      <c r="L157" s="1789"/>
      <c r="M157" s="1789"/>
      <c r="N157" s="1789"/>
      <c r="O157" s="1790"/>
    </row>
    <row r="158" spans="2:15" x14ac:dyDescent="0.3">
      <c r="B158" s="1795"/>
      <c r="C158" s="1798"/>
      <c r="D158" s="128" t="s">
        <v>584</v>
      </c>
      <c r="E158" s="1788"/>
      <c r="F158" s="1789"/>
      <c r="G158" s="1789"/>
      <c r="H158" s="1789"/>
      <c r="I158" s="1789"/>
      <c r="J158" s="1789"/>
      <c r="K158" s="1789"/>
      <c r="L158" s="1789"/>
      <c r="M158" s="1789"/>
      <c r="N158" s="1789"/>
      <c r="O158" s="1790"/>
    </row>
    <row r="159" spans="2:15" x14ac:dyDescent="0.3">
      <c r="B159" s="1795"/>
      <c r="C159" s="1798"/>
      <c r="D159" s="128" t="s">
        <v>287</v>
      </c>
      <c r="E159" s="1788"/>
      <c r="F159" s="1789"/>
      <c r="G159" s="1789"/>
      <c r="H159" s="1789"/>
      <c r="I159" s="1789"/>
      <c r="J159" s="1789"/>
      <c r="K159" s="1789"/>
      <c r="L159" s="1789"/>
      <c r="M159" s="1789"/>
      <c r="N159" s="1789"/>
      <c r="O159" s="1790"/>
    </row>
    <row r="160" spans="2:15" x14ac:dyDescent="0.3">
      <c r="B160" s="1795"/>
      <c r="C160" s="1798"/>
      <c r="D160" s="128" t="s">
        <v>288</v>
      </c>
      <c r="E160" s="1788"/>
      <c r="F160" s="1789"/>
      <c r="G160" s="1789"/>
      <c r="H160" s="1789"/>
      <c r="I160" s="1789"/>
      <c r="J160" s="1789"/>
      <c r="K160" s="1789"/>
      <c r="L160" s="1789"/>
      <c r="M160" s="1789"/>
      <c r="N160" s="1789"/>
      <c r="O160" s="1790"/>
    </row>
    <row r="161" spans="2:15" x14ac:dyDescent="0.3">
      <c r="B161" s="1795"/>
      <c r="C161" s="1798"/>
      <c r="D161" s="128" t="s">
        <v>289</v>
      </c>
      <c r="E161" s="1788"/>
      <c r="F161" s="1789"/>
      <c r="G161" s="1789"/>
      <c r="H161" s="1789"/>
      <c r="I161" s="1789"/>
      <c r="J161" s="1789"/>
      <c r="K161" s="1789"/>
      <c r="L161" s="1789"/>
      <c r="M161" s="1789"/>
      <c r="N161" s="1789"/>
      <c r="O161" s="1790"/>
    </row>
    <row r="162" spans="2:15" x14ac:dyDescent="0.3">
      <c r="B162" s="1796"/>
      <c r="C162" s="1799"/>
      <c r="D162" s="128" t="s">
        <v>290</v>
      </c>
      <c r="E162" s="1788"/>
      <c r="F162" s="1789"/>
      <c r="G162" s="1789"/>
      <c r="H162" s="1789"/>
      <c r="I162" s="1789"/>
      <c r="J162" s="1789"/>
      <c r="K162" s="1789"/>
      <c r="L162" s="1789"/>
      <c r="M162" s="1789"/>
      <c r="N162" s="1789"/>
      <c r="O162" s="1790"/>
    </row>
    <row r="163" spans="2:15" x14ac:dyDescent="0.3">
      <c r="B163" s="101">
        <v>3</v>
      </c>
      <c r="C163" s="127"/>
      <c r="D163" s="127"/>
      <c r="E163" s="1788"/>
      <c r="F163" s="1789"/>
      <c r="G163" s="1789"/>
      <c r="H163" s="1789"/>
      <c r="I163" s="1789"/>
      <c r="J163" s="1789"/>
      <c r="K163" s="1789"/>
      <c r="L163" s="1789"/>
      <c r="M163" s="1789"/>
      <c r="N163" s="1789"/>
      <c r="O163" s="1790"/>
    </row>
    <row r="164" spans="2:15" x14ac:dyDescent="0.3">
      <c r="B164" s="101" t="s">
        <v>489</v>
      </c>
      <c r="C164" s="129"/>
      <c r="D164" s="129"/>
      <c r="E164" s="1791"/>
      <c r="F164" s="1792"/>
      <c r="G164" s="1792"/>
      <c r="H164" s="1792"/>
      <c r="I164" s="1792"/>
      <c r="J164" s="1792"/>
      <c r="K164" s="1792"/>
      <c r="L164" s="1792"/>
      <c r="M164" s="1792"/>
      <c r="N164" s="1792"/>
      <c r="O164" s="1793"/>
    </row>
    <row r="166" spans="2:15" x14ac:dyDescent="0.3">
      <c r="B166" s="1800" t="s">
        <v>765</v>
      </c>
      <c r="C166" s="1800"/>
      <c r="D166" s="579"/>
      <c r="E166" s="13"/>
      <c r="F166" s="13"/>
      <c r="G166" s="13"/>
      <c r="H166" s="13"/>
      <c r="I166" s="13"/>
      <c r="J166" s="13"/>
      <c r="K166" s="13"/>
      <c r="L166" s="13"/>
    </row>
    <row r="168" spans="2:15" ht="42" x14ac:dyDescent="0.3">
      <c r="B168" s="1471" t="s">
        <v>343</v>
      </c>
      <c r="C168" s="1471" t="s">
        <v>571</v>
      </c>
      <c r="D168" s="1471" t="s">
        <v>582</v>
      </c>
      <c r="E168" s="576" t="s">
        <v>655</v>
      </c>
      <c r="F168" s="1476" t="s">
        <v>572</v>
      </c>
      <c r="G168" s="1476"/>
      <c r="H168" s="1476"/>
      <c r="I168" s="1476"/>
      <c r="J168" s="1476"/>
      <c r="K168" s="1476" t="s">
        <v>576</v>
      </c>
      <c r="L168" s="1476"/>
      <c r="M168" s="1476"/>
      <c r="N168" s="1476" t="s">
        <v>772</v>
      </c>
      <c r="O168" s="1476" t="s">
        <v>581</v>
      </c>
    </row>
    <row r="169" spans="2:15" ht="28" x14ac:dyDescent="0.3">
      <c r="B169" s="1556"/>
      <c r="C169" s="1556"/>
      <c r="D169" s="1556"/>
      <c r="E169" s="577" t="s">
        <v>657</v>
      </c>
      <c r="F169" s="575" t="s">
        <v>578</v>
      </c>
      <c r="G169" s="575" t="s">
        <v>573</v>
      </c>
      <c r="H169" s="575" t="s">
        <v>659</v>
      </c>
      <c r="I169" s="577" t="s">
        <v>697</v>
      </c>
      <c r="J169" s="577" t="s">
        <v>770</v>
      </c>
      <c r="K169" s="577" t="s">
        <v>577</v>
      </c>
      <c r="L169" s="577" t="s">
        <v>771</v>
      </c>
      <c r="M169" s="577" t="s">
        <v>658</v>
      </c>
      <c r="N169" s="1476"/>
      <c r="O169" s="1476"/>
    </row>
    <row r="170" spans="2:15" x14ac:dyDescent="0.3">
      <c r="B170" s="1794">
        <f>B169+1</f>
        <v>1</v>
      </c>
      <c r="C170" s="1797"/>
      <c r="D170" s="128" t="s">
        <v>279</v>
      </c>
      <c r="E170" s="1785" t="s">
        <v>839</v>
      </c>
      <c r="F170" s="1786"/>
      <c r="G170" s="1786"/>
      <c r="H170" s="1786"/>
      <c r="I170" s="1786"/>
      <c r="J170" s="1786"/>
      <c r="K170" s="1786"/>
      <c r="L170" s="1786"/>
      <c r="M170" s="1786"/>
      <c r="N170" s="1786"/>
      <c r="O170" s="1787"/>
    </row>
    <row r="171" spans="2:15" x14ac:dyDescent="0.3">
      <c r="B171" s="1795"/>
      <c r="C171" s="1798"/>
      <c r="D171" s="128" t="s">
        <v>280</v>
      </c>
      <c r="E171" s="1788"/>
      <c r="F171" s="1789"/>
      <c r="G171" s="1789"/>
      <c r="H171" s="1789"/>
      <c r="I171" s="1789"/>
      <c r="J171" s="1789"/>
      <c r="K171" s="1789"/>
      <c r="L171" s="1789"/>
      <c r="M171" s="1789"/>
      <c r="N171" s="1789"/>
      <c r="O171" s="1790"/>
    </row>
    <row r="172" spans="2:15" x14ac:dyDescent="0.3">
      <c r="B172" s="1795"/>
      <c r="C172" s="1798"/>
      <c r="D172" s="128" t="s">
        <v>281</v>
      </c>
      <c r="E172" s="1788"/>
      <c r="F172" s="1789"/>
      <c r="G172" s="1789"/>
      <c r="H172" s="1789"/>
      <c r="I172" s="1789"/>
      <c r="J172" s="1789"/>
      <c r="K172" s="1789"/>
      <c r="L172" s="1789"/>
      <c r="M172" s="1789"/>
      <c r="N172" s="1789"/>
      <c r="O172" s="1790"/>
    </row>
    <row r="173" spans="2:15" x14ac:dyDescent="0.3">
      <c r="B173" s="1795"/>
      <c r="C173" s="1798"/>
      <c r="D173" s="128" t="s">
        <v>583</v>
      </c>
      <c r="E173" s="1788"/>
      <c r="F173" s="1789"/>
      <c r="G173" s="1789"/>
      <c r="H173" s="1789"/>
      <c r="I173" s="1789"/>
      <c r="J173" s="1789"/>
      <c r="K173" s="1789"/>
      <c r="L173" s="1789"/>
      <c r="M173" s="1789"/>
      <c r="N173" s="1789"/>
      <c r="O173" s="1790"/>
    </row>
    <row r="174" spans="2:15" x14ac:dyDescent="0.3">
      <c r="B174" s="1795"/>
      <c r="C174" s="1798"/>
      <c r="D174" s="128" t="s">
        <v>283</v>
      </c>
      <c r="E174" s="1788"/>
      <c r="F174" s="1789"/>
      <c r="G174" s="1789"/>
      <c r="H174" s="1789"/>
      <c r="I174" s="1789"/>
      <c r="J174" s="1789"/>
      <c r="K174" s="1789"/>
      <c r="L174" s="1789"/>
      <c r="M174" s="1789"/>
      <c r="N174" s="1789"/>
      <c r="O174" s="1790"/>
    </row>
    <row r="175" spans="2:15" x14ac:dyDescent="0.3">
      <c r="B175" s="1795"/>
      <c r="C175" s="1798"/>
      <c r="D175" s="128" t="s">
        <v>284</v>
      </c>
      <c r="E175" s="1788"/>
      <c r="F175" s="1789"/>
      <c r="G175" s="1789"/>
      <c r="H175" s="1789"/>
      <c r="I175" s="1789"/>
      <c r="J175" s="1789"/>
      <c r="K175" s="1789"/>
      <c r="L175" s="1789"/>
      <c r="M175" s="1789"/>
      <c r="N175" s="1789"/>
      <c r="O175" s="1790"/>
    </row>
    <row r="176" spans="2:15" x14ac:dyDescent="0.3">
      <c r="B176" s="1794">
        <f>B170+1</f>
        <v>2</v>
      </c>
      <c r="C176" s="1797"/>
      <c r="D176" s="128" t="s">
        <v>279</v>
      </c>
      <c r="E176" s="1788"/>
      <c r="F176" s="1789"/>
      <c r="G176" s="1789"/>
      <c r="H176" s="1789"/>
      <c r="I176" s="1789"/>
      <c r="J176" s="1789"/>
      <c r="K176" s="1789"/>
      <c r="L176" s="1789"/>
      <c r="M176" s="1789"/>
      <c r="N176" s="1789"/>
      <c r="O176" s="1790"/>
    </row>
    <row r="177" spans="2:15" x14ac:dyDescent="0.3">
      <c r="B177" s="1795"/>
      <c r="C177" s="1798"/>
      <c r="D177" s="128" t="s">
        <v>280</v>
      </c>
      <c r="E177" s="1788"/>
      <c r="F177" s="1789"/>
      <c r="G177" s="1789"/>
      <c r="H177" s="1789"/>
      <c r="I177" s="1789"/>
      <c r="J177" s="1789"/>
      <c r="K177" s="1789"/>
      <c r="L177" s="1789"/>
      <c r="M177" s="1789"/>
      <c r="N177" s="1789"/>
      <c r="O177" s="1790"/>
    </row>
    <row r="178" spans="2:15" x14ac:dyDescent="0.3">
      <c r="B178" s="1795"/>
      <c r="C178" s="1798"/>
      <c r="D178" s="128" t="s">
        <v>281</v>
      </c>
      <c r="E178" s="1788"/>
      <c r="F178" s="1789"/>
      <c r="G178" s="1789"/>
      <c r="H178" s="1789"/>
      <c r="I178" s="1789"/>
      <c r="J178" s="1789"/>
      <c r="K178" s="1789"/>
      <c r="L178" s="1789"/>
      <c r="M178" s="1789"/>
      <c r="N178" s="1789"/>
      <c r="O178" s="1790"/>
    </row>
    <row r="179" spans="2:15" x14ac:dyDescent="0.3">
      <c r="B179" s="1795"/>
      <c r="C179" s="1798"/>
      <c r="D179" s="128" t="s">
        <v>583</v>
      </c>
      <c r="E179" s="1788"/>
      <c r="F179" s="1789"/>
      <c r="G179" s="1789"/>
      <c r="H179" s="1789"/>
      <c r="I179" s="1789"/>
      <c r="J179" s="1789"/>
      <c r="K179" s="1789"/>
      <c r="L179" s="1789"/>
      <c r="M179" s="1789"/>
      <c r="N179" s="1789"/>
      <c r="O179" s="1790"/>
    </row>
    <row r="180" spans="2:15" x14ac:dyDescent="0.3">
      <c r="B180" s="1795"/>
      <c r="C180" s="1798"/>
      <c r="D180" s="128" t="s">
        <v>283</v>
      </c>
      <c r="E180" s="1788"/>
      <c r="F180" s="1789"/>
      <c r="G180" s="1789"/>
      <c r="H180" s="1789"/>
      <c r="I180" s="1789"/>
      <c r="J180" s="1789"/>
      <c r="K180" s="1789"/>
      <c r="L180" s="1789"/>
      <c r="M180" s="1789"/>
      <c r="N180" s="1789"/>
      <c r="O180" s="1790"/>
    </row>
    <row r="181" spans="2:15" x14ac:dyDescent="0.3">
      <c r="B181" s="1795"/>
      <c r="C181" s="1798"/>
      <c r="D181" s="128" t="s">
        <v>284</v>
      </c>
      <c r="E181" s="1788"/>
      <c r="F181" s="1789"/>
      <c r="G181" s="1789"/>
      <c r="H181" s="1789"/>
      <c r="I181" s="1789"/>
      <c r="J181" s="1789"/>
      <c r="K181" s="1789"/>
      <c r="L181" s="1789"/>
      <c r="M181" s="1789"/>
      <c r="N181" s="1789"/>
      <c r="O181" s="1790"/>
    </row>
    <row r="182" spans="2:15" x14ac:dyDescent="0.3">
      <c r="B182" s="101">
        <v>3</v>
      </c>
      <c r="C182" s="127"/>
      <c r="D182" s="127"/>
      <c r="E182" s="1788"/>
      <c r="F182" s="1789"/>
      <c r="G182" s="1789"/>
      <c r="H182" s="1789"/>
      <c r="I182" s="1789"/>
      <c r="J182" s="1789"/>
      <c r="K182" s="1789"/>
      <c r="L182" s="1789"/>
      <c r="M182" s="1789"/>
      <c r="N182" s="1789"/>
      <c r="O182" s="1790"/>
    </row>
    <row r="183" spans="2:15" x14ac:dyDescent="0.3">
      <c r="B183" s="101" t="s">
        <v>489</v>
      </c>
      <c r="C183" s="129"/>
      <c r="D183" s="129"/>
      <c r="E183" s="1791"/>
      <c r="F183" s="1792"/>
      <c r="G183" s="1792"/>
      <c r="H183" s="1792"/>
      <c r="I183" s="1792"/>
      <c r="J183" s="1792"/>
      <c r="K183" s="1792"/>
      <c r="L183" s="1792"/>
      <c r="M183" s="1792"/>
      <c r="N183" s="1792"/>
      <c r="O183" s="1793"/>
    </row>
    <row r="186" spans="2:15" x14ac:dyDescent="0.3">
      <c r="B186" s="1800" t="s">
        <v>766</v>
      </c>
      <c r="C186" s="1800"/>
      <c r="D186" s="579"/>
      <c r="E186" s="13"/>
      <c r="F186" s="13"/>
      <c r="G186" s="13"/>
      <c r="H186" s="13"/>
      <c r="I186" s="13"/>
      <c r="J186" s="13"/>
      <c r="K186" s="13"/>
      <c r="L186" s="13"/>
    </row>
    <row r="188" spans="2:15" ht="42" x14ac:dyDescent="0.3">
      <c r="B188" s="1471" t="s">
        <v>343</v>
      </c>
      <c r="C188" s="1471" t="s">
        <v>571</v>
      </c>
      <c r="D188" s="1471" t="s">
        <v>582</v>
      </c>
      <c r="E188" s="576" t="s">
        <v>655</v>
      </c>
      <c r="F188" s="1476" t="s">
        <v>572</v>
      </c>
      <c r="G188" s="1476"/>
      <c r="H188" s="1476"/>
      <c r="I188" s="1476"/>
      <c r="J188" s="1476"/>
      <c r="K188" s="1476" t="s">
        <v>576</v>
      </c>
      <c r="L188" s="1476"/>
      <c r="M188" s="1476"/>
      <c r="N188" s="1476" t="s">
        <v>580</v>
      </c>
      <c r="O188" s="1476" t="s">
        <v>581</v>
      </c>
    </row>
    <row r="189" spans="2:15" ht="28" x14ac:dyDescent="0.3">
      <c r="B189" s="1556"/>
      <c r="C189" s="1556"/>
      <c r="D189" s="1556"/>
      <c r="E189" s="577" t="s">
        <v>657</v>
      </c>
      <c r="F189" s="575" t="s">
        <v>578</v>
      </c>
      <c r="G189" s="575" t="s">
        <v>573</v>
      </c>
      <c r="H189" s="575" t="s">
        <v>659</v>
      </c>
      <c r="I189" s="577" t="s">
        <v>574</v>
      </c>
      <c r="J189" s="577" t="s">
        <v>575</v>
      </c>
      <c r="K189" s="577" t="s">
        <v>577</v>
      </c>
      <c r="L189" s="577" t="s">
        <v>579</v>
      </c>
      <c r="M189" s="577" t="s">
        <v>658</v>
      </c>
      <c r="N189" s="1476"/>
      <c r="O189" s="1476"/>
    </row>
    <row r="190" spans="2:15" x14ac:dyDescent="0.3">
      <c r="B190" s="1794">
        <f>B189+1</f>
        <v>1</v>
      </c>
      <c r="C190" s="1797"/>
      <c r="D190" s="128" t="s">
        <v>279</v>
      </c>
      <c r="E190" s="1785" t="s">
        <v>839</v>
      </c>
      <c r="F190" s="1786"/>
      <c r="G190" s="1786"/>
      <c r="H190" s="1786"/>
      <c r="I190" s="1786"/>
      <c r="J190" s="1786"/>
      <c r="K190" s="1786"/>
      <c r="L190" s="1786"/>
      <c r="M190" s="1786"/>
      <c r="N190" s="1786"/>
      <c r="O190" s="1787"/>
    </row>
    <row r="191" spans="2:15" x14ac:dyDescent="0.3">
      <c r="B191" s="1795"/>
      <c r="C191" s="1798"/>
      <c r="D191" s="128" t="s">
        <v>280</v>
      </c>
      <c r="E191" s="1788"/>
      <c r="F191" s="1789"/>
      <c r="G191" s="1789"/>
      <c r="H191" s="1789"/>
      <c r="I191" s="1789"/>
      <c r="J191" s="1789"/>
      <c r="K191" s="1789"/>
      <c r="L191" s="1789"/>
      <c r="M191" s="1789"/>
      <c r="N191" s="1789"/>
      <c r="O191" s="1790"/>
    </row>
    <row r="192" spans="2:15" x14ac:dyDescent="0.3">
      <c r="B192" s="1795"/>
      <c r="C192" s="1798"/>
      <c r="D192" s="128" t="s">
        <v>281</v>
      </c>
      <c r="E192" s="1788"/>
      <c r="F192" s="1789"/>
      <c r="G192" s="1789"/>
      <c r="H192" s="1789"/>
      <c r="I192" s="1789"/>
      <c r="J192" s="1789"/>
      <c r="K192" s="1789"/>
      <c r="L192" s="1789"/>
      <c r="M192" s="1789"/>
      <c r="N192" s="1789"/>
      <c r="O192" s="1790"/>
    </row>
    <row r="193" spans="2:15" x14ac:dyDescent="0.3">
      <c r="B193" s="1795"/>
      <c r="C193" s="1798"/>
      <c r="D193" s="128" t="s">
        <v>583</v>
      </c>
      <c r="E193" s="1788"/>
      <c r="F193" s="1789"/>
      <c r="G193" s="1789"/>
      <c r="H193" s="1789"/>
      <c r="I193" s="1789"/>
      <c r="J193" s="1789"/>
      <c r="K193" s="1789"/>
      <c r="L193" s="1789"/>
      <c r="M193" s="1789"/>
      <c r="N193" s="1789"/>
      <c r="O193" s="1790"/>
    </row>
    <row r="194" spans="2:15" x14ac:dyDescent="0.3">
      <c r="B194" s="1795"/>
      <c r="C194" s="1798"/>
      <c r="D194" s="128" t="s">
        <v>283</v>
      </c>
      <c r="E194" s="1788"/>
      <c r="F194" s="1789"/>
      <c r="G194" s="1789"/>
      <c r="H194" s="1789"/>
      <c r="I194" s="1789"/>
      <c r="J194" s="1789"/>
      <c r="K194" s="1789"/>
      <c r="L194" s="1789"/>
      <c r="M194" s="1789"/>
      <c r="N194" s="1789"/>
      <c r="O194" s="1790"/>
    </row>
    <row r="195" spans="2:15" x14ac:dyDescent="0.3">
      <c r="B195" s="1795"/>
      <c r="C195" s="1798"/>
      <c r="D195" s="128" t="s">
        <v>284</v>
      </c>
      <c r="E195" s="1788"/>
      <c r="F195" s="1789"/>
      <c r="G195" s="1789"/>
      <c r="H195" s="1789"/>
      <c r="I195" s="1789"/>
      <c r="J195" s="1789"/>
      <c r="K195" s="1789"/>
      <c r="L195" s="1789"/>
      <c r="M195" s="1789"/>
      <c r="N195" s="1789"/>
      <c r="O195" s="1790"/>
    </row>
    <row r="196" spans="2:15" x14ac:dyDescent="0.3">
      <c r="B196" s="1795"/>
      <c r="C196" s="1798"/>
      <c r="D196" s="128" t="s">
        <v>285</v>
      </c>
      <c r="E196" s="1788"/>
      <c r="F196" s="1789"/>
      <c r="G196" s="1789"/>
      <c r="H196" s="1789"/>
      <c r="I196" s="1789"/>
      <c r="J196" s="1789"/>
      <c r="K196" s="1789"/>
      <c r="L196" s="1789"/>
      <c r="M196" s="1789"/>
      <c r="N196" s="1789"/>
      <c r="O196" s="1790"/>
    </row>
    <row r="197" spans="2:15" x14ac:dyDescent="0.3">
      <c r="B197" s="1795"/>
      <c r="C197" s="1798"/>
      <c r="D197" s="128" t="s">
        <v>584</v>
      </c>
      <c r="E197" s="1788"/>
      <c r="F197" s="1789"/>
      <c r="G197" s="1789"/>
      <c r="H197" s="1789"/>
      <c r="I197" s="1789"/>
      <c r="J197" s="1789"/>
      <c r="K197" s="1789"/>
      <c r="L197" s="1789"/>
      <c r="M197" s="1789"/>
      <c r="N197" s="1789"/>
      <c r="O197" s="1790"/>
    </row>
    <row r="198" spans="2:15" x14ac:dyDescent="0.3">
      <c r="B198" s="1795"/>
      <c r="C198" s="1798"/>
      <c r="D198" s="128" t="s">
        <v>287</v>
      </c>
      <c r="E198" s="1788"/>
      <c r="F198" s="1789"/>
      <c r="G198" s="1789"/>
      <c r="H198" s="1789"/>
      <c r="I198" s="1789"/>
      <c r="J198" s="1789"/>
      <c r="K198" s="1789"/>
      <c r="L198" s="1789"/>
      <c r="M198" s="1789"/>
      <c r="N198" s="1789"/>
      <c r="O198" s="1790"/>
    </row>
    <row r="199" spans="2:15" x14ac:dyDescent="0.3">
      <c r="B199" s="1795"/>
      <c r="C199" s="1798"/>
      <c r="D199" s="128" t="s">
        <v>288</v>
      </c>
      <c r="E199" s="1788"/>
      <c r="F199" s="1789"/>
      <c r="G199" s="1789"/>
      <c r="H199" s="1789"/>
      <c r="I199" s="1789"/>
      <c r="J199" s="1789"/>
      <c r="K199" s="1789"/>
      <c r="L199" s="1789"/>
      <c r="M199" s="1789"/>
      <c r="N199" s="1789"/>
      <c r="O199" s="1790"/>
    </row>
    <row r="200" spans="2:15" x14ac:dyDescent="0.3">
      <c r="B200" s="1795"/>
      <c r="C200" s="1798"/>
      <c r="D200" s="128" t="s">
        <v>289</v>
      </c>
      <c r="E200" s="1788"/>
      <c r="F200" s="1789"/>
      <c r="G200" s="1789"/>
      <c r="H200" s="1789"/>
      <c r="I200" s="1789"/>
      <c r="J200" s="1789"/>
      <c r="K200" s="1789"/>
      <c r="L200" s="1789"/>
      <c r="M200" s="1789"/>
      <c r="N200" s="1789"/>
      <c r="O200" s="1790"/>
    </row>
    <row r="201" spans="2:15" x14ac:dyDescent="0.3">
      <c r="B201" s="1796"/>
      <c r="C201" s="1799"/>
      <c r="D201" s="128" t="s">
        <v>290</v>
      </c>
      <c r="E201" s="1788"/>
      <c r="F201" s="1789"/>
      <c r="G201" s="1789"/>
      <c r="H201" s="1789"/>
      <c r="I201" s="1789"/>
      <c r="J201" s="1789"/>
      <c r="K201" s="1789"/>
      <c r="L201" s="1789"/>
      <c r="M201" s="1789"/>
      <c r="N201" s="1789"/>
      <c r="O201" s="1790"/>
    </row>
    <row r="202" spans="2:15" x14ac:dyDescent="0.3">
      <c r="B202" s="1794">
        <f>B190+1</f>
        <v>2</v>
      </c>
      <c r="C202" s="1797"/>
      <c r="D202" s="128" t="s">
        <v>279</v>
      </c>
      <c r="E202" s="1788"/>
      <c r="F202" s="1789"/>
      <c r="G202" s="1789"/>
      <c r="H202" s="1789"/>
      <c r="I202" s="1789"/>
      <c r="J202" s="1789"/>
      <c r="K202" s="1789"/>
      <c r="L202" s="1789"/>
      <c r="M202" s="1789"/>
      <c r="N202" s="1789"/>
      <c r="O202" s="1790"/>
    </row>
    <row r="203" spans="2:15" x14ac:dyDescent="0.3">
      <c r="B203" s="1795"/>
      <c r="C203" s="1798"/>
      <c r="D203" s="128" t="s">
        <v>280</v>
      </c>
      <c r="E203" s="1788"/>
      <c r="F203" s="1789"/>
      <c r="G203" s="1789"/>
      <c r="H203" s="1789"/>
      <c r="I203" s="1789"/>
      <c r="J203" s="1789"/>
      <c r="K203" s="1789"/>
      <c r="L203" s="1789"/>
      <c r="M203" s="1789"/>
      <c r="N203" s="1789"/>
      <c r="O203" s="1790"/>
    </row>
    <row r="204" spans="2:15" x14ac:dyDescent="0.3">
      <c r="B204" s="1795"/>
      <c r="C204" s="1798"/>
      <c r="D204" s="128" t="s">
        <v>281</v>
      </c>
      <c r="E204" s="1788"/>
      <c r="F204" s="1789"/>
      <c r="G204" s="1789"/>
      <c r="H204" s="1789"/>
      <c r="I204" s="1789"/>
      <c r="J204" s="1789"/>
      <c r="K204" s="1789"/>
      <c r="L204" s="1789"/>
      <c r="M204" s="1789"/>
      <c r="N204" s="1789"/>
      <c r="O204" s="1790"/>
    </row>
    <row r="205" spans="2:15" x14ac:dyDescent="0.3">
      <c r="B205" s="1795"/>
      <c r="C205" s="1798"/>
      <c r="D205" s="128" t="s">
        <v>583</v>
      </c>
      <c r="E205" s="1788"/>
      <c r="F205" s="1789"/>
      <c r="G205" s="1789"/>
      <c r="H205" s="1789"/>
      <c r="I205" s="1789"/>
      <c r="J205" s="1789"/>
      <c r="K205" s="1789"/>
      <c r="L205" s="1789"/>
      <c r="M205" s="1789"/>
      <c r="N205" s="1789"/>
      <c r="O205" s="1790"/>
    </row>
    <row r="206" spans="2:15" x14ac:dyDescent="0.3">
      <c r="B206" s="1795"/>
      <c r="C206" s="1798"/>
      <c r="D206" s="128" t="s">
        <v>283</v>
      </c>
      <c r="E206" s="1788"/>
      <c r="F206" s="1789"/>
      <c r="G206" s="1789"/>
      <c r="H206" s="1789"/>
      <c r="I206" s="1789"/>
      <c r="J206" s="1789"/>
      <c r="K206" s="1789"/>
      <c r="L206" s="1789"/>
      <c r="M206" s="1789"/>
      <c r="N206" s="1789"/>
      <c r="O206" s="1790"/>
    </row>
    <row r="207" spans="2:15" x14ac:dyDescent="0.3">
      <c r="B207" s="1795"/>
      <c r="C207" s="1798"/>
      <c r="D207" s="128" t="s">
        <v>284</v>
      </c>
      <c r="E207" s="1788"/>
      <c r="F207" s="1789"/>
      <c r="G207" s="1789"/>
      <c r="H207" s="1789"/>
      <c r="I207" s="1789"/>
      <c r="J207" s="1789"/>
      <c r="K207" s="1789"/>
      <c r="L207" s="1789"/>
      <c r="M207" s="1789"/>
      <c r="N207" s="1789"/>
      <c r="O207" s="1790"/>
    </row>
    <row r="208" spans="2:15" x14ac:dyDescent="0.3">
      <c r="B208" s="1795"/>
      <c r="C208" s="1798"/>
      <c r="D208" s="128" t="s">
        <v>285</v>
      </c>
      <c r="E208" s="1788"/>
      <c r="F208" s="1789"/>
      <c r="G208" s="1789"/>
      <c r="H208" s="1789"/>
      <c r="I208" s="1789"/>
      <c r="J208" s="1789"/>
      <c r="K208" s="1789"/>
      <c r="L208" s="1789"/>
      <c r="M208" s="1789"/>
      <c r="N208" s="1789"/>
      <c r="O208" s="1790"/>
    </row>
    <row r="209" spans="2:15" x14ac:dyDescent="0.3">
      <c r="B209" s="1795"/>
      <c r="C209" s="1798"/>
      <c r="D209" s="128" t="s">
        <v>584</v>
      </c>
      <c r="E209" s="1788"/>
      <c r="F209" s="1789"/>
      <c r="G209" s="1789"/>
      <c r="H209" s="1789"/>
      <c r="I209" s="1789"/>
      <c r="J209" s="1789"/>
      <c r="K209" s="1789"/>
      <c r="L209" s="1789"/>
      <c r="M209" s="1789"/>
      <c r="N209" s="1789"/>
      <c r="O209" s="1790"/>
    </row>
    <row r="210" spans="2:15" x14ac:dyDescent="0.3">
      <c r="B210" s="1795"/>
      <c r="C210" s="1798"/>
      <c r="D210" s="128" t="s">
        <v>287</v>
      </c>
      <c r="E210" s="1788"/>
      <c r="F210" s="1789"/>
      <c r="G210" s="1789"/>
      <c r="H210" s="1789"/>
      <c r="I210" s="1789"/>
      <c r="J210" s="1789"/>
      <c r="K210" s="1789"/>
      <c r="L210" s="1789"/>
      <c r="M210" s="1789"/>
      <c r="N210" s="1789"/>
      <c r="O210" s="1790"/>
    </row>
    <row r="211" spans="2:15" x14ac:dyDescent="0.3">
      <c r="B211" s="1795"/>
      <c r="C211" s="1798"/>
      <c r="D211" s="128" t="s">
        <v>288</v>
      </c>
      <c r="E211" s="1788"/>
      <c r="F211" s="1789"/>
      <c r="G211" s="1789"/>
      <c r="H211" s="1789"/>
      <c r="I211" s="1789"/>
      <c r="J211" s="1789"/>
      <c r="K211" s="1789"/>
      <c r="L211" s="1789"/>
      <c r="M211" s="1789"/>
      <c r="N211" s="1789"/>
      <c r="O211" s="1790"/>
    </row>
    <row r="212" spans="2:15" x14ac:dyDescent="0.3">
      <c r="B212" s="1795"/>
      <c r="C212" s="1798"/>
      <c r="D212" s="128" t="s">
        <v>289</v>
      </c>
      <c r="E212" s="1788"/>
      <c r="F212" s="1789"/>
      <c r="G212" s="1789"/>
      <c r="H212" s="1789"/>
      <c r="I212" s="1789"/>
      <c r="J212" s="1789"/>
      <c r="K212" s="1789"/>
      <c r="L212" s="1789"/>
      <c r="M212" s="1789"/>
      <c r="N212" s="1789"/>
      <c r="O212" s="1790"/>
    </row>
    <row r="213" spans="2:15" x14ac:dyDescent="0.3">
      <c r="B213" s="1796"/>
      <c r="C213" s="1799"/>
      <c r="D213" s="128" t="s">
        <v>290</v>
      </c>
      <c r="E213" s="1788"/>
      <c r="F213" s="1789"/>
      <c r="G213" s="1789"/>
      <c r="H213" s="1789"/>
      <c r="I213" s="1789"/>
      <c r="J213" s="1789"/>
      <c r="K213" s="1789"/>
      <c r="L213" s="1789"/>
      <c r="M213" s="1789"/>
      <c r="N213" s="1789"/>
      <c r="O213" s="1790"/>
    </row>
    <row r="214" spans="2:15" x14ac:dyDescent="0.3">
      <c r="B214" s="101">
        <v>3</v>
      </c>
      <c r="C214" s="127"/>
      <c r="D214" s="127"/>
      <c r="E214" s="1788"/>
      <c r="F214" s="1789"/>
      <c r="G214" s="1789"/>
      <c r="H214" s="1789"/>
      <c r="I214" s="1789"/>
      <c r="J214" s="1789"/>
      <c r="K214" s="1789"/>
      <c r="L214" s="1789"/>
      <c r="M214" s="1789"/>
      <c r="N214" s="1789"/>
      <c r="O214" s="1790"/>
    </row>
    <row r="215" spans="2:15" x14ac:dyDescent="0.3">
      <c r="B215" s="101" t="s">
        <v>489</v>
      </c>
      <c r="C215" s="129"/>
      <c r="D215" s="129"/>
      <c r="E215" s="1791"/>
      <c r="F215" s="1792"/>
      <c r="G215" s="1792"/>
      <c r="H215" s="1792"/>
      <c r="I215" s="1792"/>
      <c r="J215" s="1792"/>
      <c r="K215" s="1792"/>
      <c r="L215" s="1792"/>
      <c r="M215" s="1792"/>
      <c r="N215" s="1792"/>
      <c r="O215" s="1793"/>
    </row>
    <row r="217" spans="2:15" x14ac:dyDescent="0.3">
      <c r="B217" s="289" t="s">
        <v>585</v>
      </c>
    </row>
    <row r="218" spans="2:15" x14ac:dyDescent="0.3">
      <c r="B218" s="289" t="s">
        <v>654</v>
      </c>
    </row>
    <row r="219" spans="2:15" x14ac:dyDescent="0.3">
      <c r="B219" s="289" t="s">
        <v>586</v>
      </c>
    </row>
    <row r="220" spans="2:15" x14ac:dyDescent="0.3">
      <c r="B220" s="289" t="s">
        <v>656</v>
      </c>
    </row>
    <row r="222" spans="2:15" x14ac:dyDescent="0.3">
      <c r="B222" s="1800" t="s">
        <v>767</v>
      </c>
      <c r="C222" s="1800"/>
      <c r="D222" s="579"/>
      <c r="E222" s="13"/>
      <c r="F222" s="13"/>
      <c r="G222" s="13"/>
      <c r="H222" s="13"/>
      <c r="I222" s="13"/>
      <c r="J222" s="13"/>
      <c r="K222" s="13"/>
      <c r="L222" s="13"/>
    </row>
    <row r="224" spans="2:15" ht="57" customHeight="1" x14ac:dyDescent="0.3">
      <c r="B224" s="1471" t="s">
        <v>343</v>
      </c>
      <c r="C224" s="1471" t="s">
        <v>571</v>
      </c>
      <c r="D224" s="1471" t="s">
        <v>582</v>
      </c>
      <c r="E224" s="576" t="s">
        <v>655</v>
      </c>
      <c r="F224" s="1478" t="s">
        <v>572</v>
      </c>
      <c r="G224" s="1479"/>
      <c r="H224" s="1479"/>
      <c r="I224" s="1479"/>
      <c r="J224" s="1480"/>
      <c r="K224" s="1478" t="s">
        <v>576</v>
      </c>
      <c r="L224" s="1479"/>
      <c r="M224" s="1480"/>
      <c r="N224" s="1471" t="s">
        <v>580</v>
      </c>
      <c r="O224" s="1471" t="s">
        <v>581</v>
      </c>
    </row>
    <row r="225" spans="2:15" ht="28" x14ac:dyDescent="0.3">
      <c r="B225" s="1556"/>
      <c r="C225" s="1556"/>
      <c r="D225" s="1556"/>
      <c r="E225" s="577" t="s">
        <v>657</v>
      </c>
      <c r="F225" s="575" t="s">
        <v>578</v>
      </c>
      <c r="G225" s="575" t="s">
        <v>573</v>
      </c>
      <c r="H225" s="575" t="s">
        <v>659</v>
      </c>
      <c r="I225" s="577" t="s">
        <v>574</v>
      </c>
      <c r="J225" s="577" t="s">
        <v>575</v>
      </c>
      <c r="K225" s="577" t="s">
        <v>577</v>
      </c>
      <c r="L225" s="577" t="s">
        <v>579</v>
      </c>
      <c r="M225" s="577" t="s">
        <v>658</v>
      </c>
      <c r="N225" s="1556"/>
      <c r="O225" s="1556"/>
    </row>
    <row r="226" spans="2:15" x14ac:dyDescent="0.3">
      <c r="B226" s="1794">
        <f>B225+1</f>
        <v>1</v>
      </c>
      <c r="C226" s="1797"/>
      <c r="D226" s="128" t="s">
        <v>279</v>
      </c>
      <c r="E226" s="1785" t="s">
        <v>839</v>
      </c>
      <c r="F226" s="1786"/>
      <c r="G226" s="1786"/>
      <c r="H226" s="1786"/>
      <c r="I226" s="1786"/>
      <c r="J226" s="1786"/>
      <c r="K226" s="1786"/>
      <c r="L226" s="1786"/>
      <c r="M226" s="1786"/>
      <c r="N226" s="1786"/>
      <c r="O226" s="1787"/>
    </row>
    <row r="227" spans="2:15" x14ac:dyDescent="0.3">
      <c r="B227" s="1795"/>
      <c r="C227" s="1798"/>
      <c r="D227" s="128" t="s">
        <v>280</v>
      </c>
      <c r="E227" s="1788"/>
      <c r="F227" s="1789"/>
      <c r="G227" s="1789"/>
      <c r="H227" s="1789"/>
      <c r="I227" s="1789"/>
      <c r="J227" s="1789"/>
      <c r="K227" s="1789"/>
      <c r="L227" s="1789"/>
      <c r="M227" s="1789"/>
      <c r="N227" s="1789"/>
      <c r="O227" s="1790"/>
    </row>
    <row r="228" spans="2:15" x14ac:dyDescent="0.3">
      <c r="B228" s="1795"/>
      <c r="C228" s="1798"/>
      <c r="D228" s="128" t="s">
        <v>281</v>
      </c>
      <c r="E228" s="1788"/>
      <c r="F228" s="1789"/>
      <c r="G228" s="1789"/>
      <c r="H228" s="1789"/>
      <c r="I228" s="1789"/>
      <c r="J228" s="1789"/>
      <c r="K228" s="1789"/>
      <c r="L228" s="1789"/>
      <c r="M228" s="1789"/>
      <c r="N228" s="1789"/>
      <c r="O228" s="1790"/>
    </row>
    <row r="229" spans="2:15" x14ac:dyDescent="0.3">
      <c r="B229" s="1795"/>
      <c r="C229" s="1798"/>
      <c r="D229" s="128" t="s">
        <v>583</v>
      </c>
      <c r="E229" s="1788"/>
      <c r="F229" s="1789"/>
      <c r="G229" s="1789"/>
      <c r="H229" s="1789"/>
      <c r="I229" s="1789"/>
      <c r="J229" s="1789"/>
      <c r="K229" s="1789"/>
      <c r="L229" s="1789"/>
      <c r="M229" s="1789"/>
      <c r="N229" s="1789"/>
      <c r="O229" s="1790"/>
    </row>
    <row r="230" spans="2:15" x14ac:dyDescent="0.3">
      <c r="B230" s="1795"/>
      <c r="C230" s="1798"/>
      <c r="D230" s="128" t="s">
        <v>283</v>
      </c>
      <c r="E230" s="1788"/>
      <c r="F230" s="1789"/>
      <c r="G230" s="1789"/>
      <c r="H230" s="1789"/>
      <c r="I230" s="1789"/>
      <c r="J230" s="1789"/>
      <c r="K230" s="1789"/>
      <c r="L230" s="1789"/>
      <c r="M230" s="1789"/>
      <c r="N230" s="1789"/>
      <c r="O230" s="1790"/>
    </row>
    <row r="231" spans="2:15" x14ac:dyDescent="0.3">
      <c r="B231" s="1795"/>
      <c r="C231" s="1798"/>
      <c r="D231" s="128" t="s">
        <v>284</v>
      </c>
      <c r="E231" s="1788"/>
      <c r="F231" s="1789"/>
      <c r="G231" s="1789"/>
      <c r="H231" s="1789"/>
      <c r="I231" s="1789"/>
      <c r="J231" s="1789"/>
      <c r="K231" s="1789"/>
      <c r="L231" s="1789"/>
      <c r="M231" s="1789"/>
      <c r="N231" s="1789"/>
      <c r="O231" s="1790"/>
    </row>
    <row r="232" spans="2:15" x14ac:dyDescent="0.3">
      <c r="B232" s="1795"/>
      <c r="C232" s="1798"/>
      <c r="D232" s="128" t="s">
        <v>285</v>
      </c>
      <c r="E232" s="1788"/>
      <c r="F232" s="1789"/>
      <c r="G232" s="1789"/>
      <c r="H232" s="1789"/>
      <c r="I232" s="1789"/>
      <c r="J232" s="1789"/>
      <c r="K232" s="1789"/>
      <c r="L232" s="1789"/>
      <c r="M232" s="1789"/>
      <c r="N232" s="1789"/>
      <c r="O232" s="1790"/>
    </row>
    <row r="233" spans="2:15" x14ac:dyDescent="0.3">
      <c r="B233" s="1795"/>
      <c r="C233" s="1798"/>
      <c r="D233" s="128" t="s">
        <v>584</v>
      </c>
      <c r="E233" s="1788"/>
      <c r="F233" s="1789"/>
      <c r="G233" s="1789"/>
      <c r="H233" s="1789"/>
      <c r="I233" s="1789"/>
      <c r="J233" s="1789"/>
      <c r="K233" s="1789"/>
      <c r="L233" s="1789"/>
      <c r="M233" s="1789"/>
      <c r="N233" s="1789"/>
      <c r="O233" s="1790"/>
    </row>
    <row r="234" spans="2:15" x14ac:dyDescent="0.3">
      <c r="B234" s="1795"/>
      <c r="C234" s="1798"/>
      <c r="D234" s="128" t="s">
        <v>287</v>
      </c>
      <c r="E234" s="1788"/>
      <c r="F234" s="1789"/>
      <c r="G234" s="1789"/>
      <c r="H234" s="1789"/>
      <c r="I234" s="1789"/>
      <c r="J234" s="1789"/>
      <c r="K234" s="1789"/>
      <c r="L234" s="1789"/>
      <c r="M234" s="1789"/>
      <c r="N234" s="1789"/>
      <c r="O234" s="1790"/>
    </row>
    <row r="235" spans="2:15" x14ac:dyDescent="0.3">
      <c r="B235" s="1795"/>
      <c r="C235" s="1798"/>
      <c r="D235" s="128" t="s">
        <v>288</v>
      </c>
      <c r="E235" s="1788"/>
      <c r="F235" s="1789"/>
      <c r="G235" s="1789"/>
      <c r="H235" s="1789"/>
      <c r="I235" s="1789"/>
      <c r="J235" s="1789"/>
      <c r="K235" s="1789"/>
      <c r="L235" s="1789"/>
      <c r="M235" s="1789"/>
      <c r="N235" s="1789"/>
      <c r="O235" s="1790"/>
    </row>
    <row r="236" spans="2:15" x14ac:dyDescent="0.3">
      <c r="B236" s="1795"/>
      <c r="C236" s="1798"/>
      <c r="D236" s="128" t="s">
        <v>289</v>
      </c>
      <c r="E236" s="1788"/>
      <c r="F236" s="1789"/>
      <c r="G236" s="1789"/>
      <c r="H236" s="1789"/>
      <c r="I236" s="1789"/>
      <c r="J236" s="1789"/>
      <c r="K236" s="1789"/>
      <c r="L236" s="1789"/>
      <c r="M236" s="1789"/>
      <c r="N236" s="1789"/>
      <c r="O236" s="1790"/>
    </row>
    <row r="237" spans="2:15" x14ac:dyDescent="0.3">
      <c r="B237" s="1796"/>
      <c r="C237" s="1799"/>
      <c r="D237" s="128" t="s">
        <v>290</v>
      </c>
      <c r="E237" s="1788"/>
      <c r="F237" s="1789"/>
      <c r="G237" s="1789"/>
      <c r="H237" s="1789"/>
      <c r="I237" s="1789"/>
      <c r="J237" s="1789"/>
      <c r="K237" s="1789"/>
      <c r="L237" s="1789"/>
      <c r="M237" s="1789"/>
      <c r="N237" s="1789"/>
      <c r="O237" s="1790"/>
    </row>
    <row r="238" spans="2:15" x14ac:dyDescent="0.3">
      <c r="B238" s="1794">
        <f>B226+1</f>
        <v>2</v>
      </c>
      <c r="C238" s="1797"/>
      <c r="D238" s="128" t="s">
        <v>279</v>
      </c>
      <c r="E238" s="1788"/>
      <c r="F238" s="1789"/>
      <c r="G238" s="1789"/>
      <c r="H238" s="1789"/>
      <c r="I238" s="1789"/>
      <c r="J238" s="1789"/>
      <c r="K238" s="1789"/>
      <c r="L238" s="1789"/>
      <c r="M238" s="1789"/>
      <c r="N238" s="1789"/>
      <c r="O238" s="1790"/>
    </row>
    <row r="239" spans="2:15" x14ac:dyDescent="0.3">
      <c r="B239" s="1795"/>
      <c r="C239" s="1798"/>
      <c r="D239" s="128" t="s">
        <v>280</v>
      </c>
      <c r="E239" s="1788"/>
      <c r="F239" s="1789"/>
      <c r="G239" s="1789"/>
      <c r="H239" s="1789"/>
      <c r="I239" s="1789"/>
      <c r="J239" s="1789"/>
      <c r="K239" s="1789"/>
      <c r="L239" s="1789"/>
      <c r="M239" s="1789"/>
      <c r="N239" s="1789"/>
      <c r="O239" s="1790"/>
    </row>
    <row r="240" spans="2:15" x14ac:dyDescent="0.3">
      <c r="B240" s="1795"/>
      <c r="C240" s="1798"/>
      <c r="D240" s="128" t="s">
        <v>281</v>
      </c>
      <c r="E240" s="1788"/>
      <c r="F240" s="1789"/>
      <c r="G240" s="1789"/>
      <c r="H240" s="1789"/>
      <c r="I240" s="1789"/>
      <c r="J240" s="1789"/>
      <c r="K240" s="1789"/>
      <c r="L240" s="1789"/>
      <c r="M240" s="1789"/>
      <c r="N240" s="1789"/>
      <c r="O240" s="1790"/>
    </row>
    <row r="241" spans="2:15" x14ac:dyDescent="0.3">
      <c r="B241" s="1795"/>
      <c r="C241" s="1798"/>
      <c r="D241" s="128" t="s">
        <v>583</v>
      </c>
      <c r="E241" s="1788"/>
      <c r="F241" s="1789"/>
      <c r="G241" s="1789"/>
      <c r="H241" s="1789"/>
      <c r="I241" s="1789"/>
      <c r="J241" s="1789"/>
      <c r="K241" s="1789"/>
      <c r="L241" s="1789"/>
      <c r="M241" s="1789"/>
      <c r="N241" s="1789"/>
      <c r="O241" s="1790"/>
    </row>
    <row r="242" spans="2:15" x14ac:dyDescent="0.3">
      <c r="B242" s="1795"/>
      <c r="C242" s="1798"/>
      <c r="D242" s="128" t="s">
        <v>283</v>
      </c>
      <c r="E242" s="1788"/>
      <c r="F242" s="1789"/>
      <c r="G242" s="1789"/>
      <c r="H242" s="1789"/>
      <c r="I242" s="1789"/>
      <c r="J242" s="1789"/>
      <c r="K242" s="1789"/>
      <c r="L242" s="1789"/>
      <c r="M242" s="1789"/>
      <c r="N242" s="1789"/>
      <c r="O242" s="1790"/>
    </row>
    <row r="243" spans="2:15" x14ac:dyDescent="0.3">
      <c r="B243" s="1795"/>
      <c r="C243" s="1798"/>
      <c r="D243" s="128" t="s">
        <v>284</v>
      </c>
      <c r="E243" s="1788"/>
      <c r="F243" s="1789"/>
      <c r="G243" s="1789"/>
      <c r="H243" s="1789"/>
      <c r="I243" s="1789"/>
      <c r="J243" s="1789"/>
      <c r="K243" s="1789"/>
      <c r="L243" s="1789"/>
      <c r="M243" s="1789"/>
      <c r="N243" s="1789"/>
      <c r="O243" s="1790"/>
    </row>
    <row r="244" spans="2:15" x14ac:dyDescent="0.3">
      <c r="B244" s="1795"/>
      <c r="C244" s="1798"/>
      <c r="D244" s="128" t="s">
        <v>285</v>
      </c>
      <c r="E244" s="1788"/>
      <c r="F244" s="1789"/>
      <c r="G244" s="1789"/>
      <c r="H244" s="1789"/>
      <c r="I244" s="1789"/>
      <c r="J244" s="1789"/>
      <c r="K244" s="1789"/>
      <c r="L244" s="1789"/>
      <c r="M244" s="1789"/>
      <c r="N244" s="1789"/>
      <c r="O244" s="1790"/>
    </row>
    <row r="245" spans="2:15" x14ac:dyDescent="0.3">
      <c r="B245" s="1795"/>
      <c r="C245" s="1798"/>
      <c r="D245" s="128" t="s">
        <v>584</v>
      </c>
      <c r="E245" s="1788"/>
      <c r="F245" s="1789"/>
      <c r="G245" s="1789"/>
      <c r="H245" s="1789"/>
      <c r="I245" s="1789"/>
      <c r="J245" s="1789"/>
      <c r="K245" s="1789"/>
      <c r="L245" s="1789"/>
      <c r="M245" s="1789"/>
      <c r="N245" s="1789"/>
      <c r="O245" s="1790"/>
    </row>
    <row r="246" spans="2:15" x14ac:dyDescent="0.3">
      <c r="B246" s="1795"/>
      <c r="C246" s="1798"/>
      <c r="D246" s="128" t="s">
        <v>287</v>
      </c>
      <c r="E246" s="1788"/>
      <c r="F246" s="1789"/>
      <c r="G246" s="1789"/>
      <c r="H246" s="1789"/>
      <c r="I246" s="1789"/>
      <c r="J246" s="1789"/>
      <c r="K246" s="1789"/>
      <c r="L246" s="1789"/>
      <c r="M246" s="1789"/>
      <c r="N246" s="1789"/>
      <c r="O246" s="1790"/>
    </row>
    <row r="247" spans="2:15" x14ac:dyDescent="0.3">
      <c r="B247" s="1795"/>
      <c r="C247" s="1798"/>
      <c r="D247" s="128" t="s">
        <v>288</v>
      </c>
      <c r="E247" s="1788"/>
      <c r="F247" s="1789"/>
      <c r="G247" s="1789"/>
      <c r="H247" s="1789"/>
      <c r="I247" s="1789"/>
      <c r="J247" s="1789"/>
      <c r="K247" s="1789"/>
      <c r="L247" s="1789"/>
      <c r="M247" s="1789"/>
      <c r="N247" s="1789"/>
      <c r="O247" s="1790"/>
    </row>
    <row r="248" spans="2:15" x14ac:dyDescent="0.3">
      <c r="B248" s="1795"/>
      <c r="C248" s="1798"/>
      <c r="D248" s="128" t="s">
        <v>289</v>
      </c>
      <c r="E248" s="1788"/>
      <c r="F248" s="1789"/>
      <c r="G248" s="1789"/>
      <c r="H248" s="1789"/>
      <c r="I248" s="1789"/>
      <c r="J248" s="1789"/>
      <c r="K248" s="1789"/>
      <c r="L248" s="1789"/>
      <c r="M248" s="1789"/>
      <c r="N248" s="1789"/>
      <c r="O248" s="1790"/>
    </row>
    <row r="249" spans="2:15" x14ac:dyDescent="0.3">
      <c r="B249" s="1796"/>
      <c r="C249" s="1799"/>
      <c r="D249" s="128" t="s">
        <v>290</v>
      </c>
      <c r="E249" s="1788"/>
      <c r="F249" s="1789"/>
      <c r="G249" s="1789"/>
      <c r="H249" s="1789"/>
      <c r="I249" s="1789"/>
      <c r="J249" s="1789"/>
      <c r="K249" s="1789"/>
      <c r="L249" s="1789"/>
      <c r="M249" s="1789"/>
      <c r="N249" s="1789"/>
      <c r="O249" s="1790"/>
    </row>
    <row r="250" spans="2:15" x14ac:dyDescent="0.3">
      <c r="B250" s="101">
        <v>3</v>
      </c>
      <c r="C250" s="127"/>
      <c r="D250" s="127"/>
      <c r="E250" s="1788"/>
      <c r="F250" s="1789"/>
      <c r="G250" s="1789"/>
      <c r="H250" s="1789"/>
      <c r="I250" s="1789"/>
      <c r="J250" s="1789"/>
      <c r="K250" s="1789"/>
      <c r="L250" s="1789"/>
      <c r="M250" s="1789"/>
      <c r="N250" s="1789"/>
      <c r="O250" s="1790"/>
    </row>
    <row r="251" spans="2:15" x14ac:dyDescent="0.3">
      <c r="B251" s="101" t="s">
        <v>489</v>
      </c>
      <c r="C251" s="129"/>
      <c r="D251" s="129"/>
      <c r="E251" s="1791"/>
      <c r="F251" s="1792"/>
      <c r="G251" s="1792"/>
      <c r="H251" s="1792"/>
      <c r="I251" s="1792"/>
      <c r="J251" s="1792"/>
      <c r="K251" s="1792"/>
      <c r="L251" s="1792"/>
      <c r="M251" s="1792"/>
      <c r="N251" s="1792"/>
      <c r="O251" s="1793"/>
    </row>
    <row r="253" spans="2:15" x14ac:dyDescent="0.3">
      <c r="B253" s="289" t="s">
        <v>585</v>
      </c>
    </row>
    <row r="254" spans="2:15" x14ac:dyDescent="0.3">
      <c r="B254" s="289" t="s">
        <v>654</v>
      </c>
    </row>
    <row r="255" spans="2:15" x14ac:dyDescent="0.3">
      <c r="B255" s="289" t="s">
        <v>586</v>
      </c>
    </row>
    <row r="256" spans="2:15" x14ac:dyDescent="0.3">
      <c r="B256" s="289" t="s">
        <v>656</v>
      </c>
    </row>
    <row r="258" spans="2:15" x14ac:dyDescent="0.3">
      <c r="B258" s="1800" t="s">
        <v>768</v>
      </c>
      <c r="C258" s="1800"/>
      <c r="D258" s="579"/>
      <c r="E258" s="13"/>
      <c r="F258" s="13"/>
      <c r="G258" s="13"/>
      <c r="H258" s="13"/>
      <c r="I258" s="13"/>
      <c r="J258" s="13"/>
      <c r="K258" s="13"/>
      <c r="L258" s="13"/>
    </row>
    <row r="260" spans="2:15" ht="42" x14ac:dyDescent="0.3">
      <c r="B260" s="1471" t="s">
        <v>343</v>
      </c>
      <c r="C260" s="1471" t="s">
        <v>571</v>
      </c>
      <c r="D260" s="1471" t="s">
        <v>582</v>
      </c>
      <c r="E260" s="576" t="s">
        <v>655</v>
      </c>
      <c r="F260" s="1476" t="s">
        <v>572</v>
      </c>
      <c r="G260" s="1476"/>
      <c r="H260" s="1476"/>
      <c r="I260" s="1476"/>
      <c r="J260" s="1476"/>
      <c r="K260" s="1476" t="s">
        <v>576</v>
      </c>
      <c r="L260" s="1476"/>
      <c r="M260" s="1476"/>
      <c r="N260" s="1476" t="s">
        <v>580</v>
      </c>
      <c r="O260" s="1476" t="s">
        <v>581</v>
      </c>
    </row>
    <row r="261" spans="2:15" ht="28" x14ac:dyDescent="0.3">
      <c r="B261" s="1556"/>
      <c r="C261" s="1556"/>
      <c r="D261" s="1556"/>
      <c r="E261" s="577" t="s">
        <v>657</v>
      </c>
      <c r="F261" s="575" t="s">
        <v>578</v>
      </c>
      <c r="G261" s="575" t="s">
        <v>573</v>
      </c>
      <c r="H261" s="575" t="s">
        <v>659</v>
      </c>
      <c r="I261" s="577" t="s">
        <v>574</v>
      </c>
      <c r="J261" s="577" t="s">
        <v>575</v>
      </c>
      <c r="K261" s="577" t="s">
        <v>577</v>
      </c>
      <c r="L261" s="577" t="s">
        <v>579</v>
      </c>
      <c r="M261" s="577" t="s">
        <v>658</v>
      </c>
      <c r="N261" s="1476"/>
      <c r="O261" s="1476"/>
    </row>
    <row r="262" spans="2:15" x14ac:dyDescent="0.3">
      <c r="B262" s="1794">
        <f>B261+1</f>
        <v>1</v>
      </c>
      <c r="C262" s="1797"/>
      <c r="D262" s="128" t="s">
        <v>279</v>
      </c>
      <c r="E262" s="1785" t="s">
        <v>839</v>
      </c>
      <c r="F262" s="1786"/>
      <c r="G262" s="1786"/>
      <c r="H262" s="1786"/>
      <c r="I262" s="1786"/>
      <c r="J262" s="1786"/>
      <c r="K262" s="1786"/>
      <c r="L262" s="1786"/>
      <c r="M262" s="1786"/>
      <c r="N262" s="1786"/>
      <c r="O262" s="1787"/>
    </row>
    <row r="263" spans="2:15" x14ac:dyDescent="0.3">
      <c r="B263" s="1795"/>
      <c r="C263" s="1798"/>
      <c r="D263" s="128" t="s">
        <v>280</v>
      </c>
      <c r="E263" s="1788"/>
      <c r="F263" s="1789"/>
      <c r="G263" s="1789"/>
      <c r="H263" s="1789"/>
      <c r="I263" s="1789"/>
      <c r="J263" s="1789"/>
      <c r="K263" s="1789"/>
      <c r="L263" s="1789"/>
      <c r="M263" s="1789"/>
      <c r="N263" s="1789"/>
      <c r="O263" s="1790"/>
    </row>
    <row r="264" spans="2:15" x14ac:dyDescent="0.3">
      <c r="B264" s="1795"/>
      <c r="C264" s="1798"/>
      <c r="D264" s="128" t="s">
        <v>281</v>
      </c>
      <c r="E264" s="1788"/>
      <c r="F264" s="1789"/>
      <c r="G264" s="1789"/>
      <c r="H264" s="1789"/>
      <c r="I264" s="1789"/>
      <c r="J264" s="1789"/>
      <c r="K264" s="1789"/>
      <c r="L264" s="1789"/>
      <c r="M264" s="1789"/>
      <c r="N264" s="1789"/>
      <c r="O264" s="1790"/>
    </row>
    <row r="265" spans="2:15" x14ac:dyDescent="0.3">
      <c r="B265" s="1795"/>
      <c r="C265" s="1798"/>
      <c r="D265" s="128" t="s">
        <v>583</v>
      </c>
      <c r="E265" s="1788"/>
      <c r="F265" s="1789"/>
      <c r="G265" s="1789"/>
      <c r="H265" s="1789"/>
      <c r="I265" s="1789"/>
      <c r="J265" s="1789"/>
      <c r="K265" s="1789"/>
      <c r="L265" s="1789"/>
      <c r="M265" s="1789"/>
      <c r="N265" s="1789"/>
      <c r="O265" s="1790"/>
    </row>
    <row r="266" spans="2:15" x14ac:dyDescent="0.3">
      <c r="B266" s="1795"/>
      <c r="C266" s="1798"/>
      <c r="D266" s="128" t="s">
        <v>283</v>
      </c>
      <c r="E266" s="1788"/>
      <c r="F266" s="1789"/>
      <c r="G266" s="1789"/>
      <c r="H266" s="1789"/>
      <c r="I266" s="1789"/>
      <c r="J266" s="1789"/>
      <c r="K266" s="1789"/>
      <c r="L266" s="1789"/>
      <c r="M266" s="1789"/>
      <c r="N266" s="1789"/>
      <c r="O266" s="1790"/>
    </row>
    <row r="267" spans="2:15" x14ac:dyDescent="0.3">
      <c r="B267" s="1795"/>
      <c r="C267" s="1798"/>
      <c r="D267" s="128" t="s">
        <v>284</v>
      </c>
      <c r="E267" s="1788"/>
      <c r="F267" s="1789"/>
      <c r="G267" s="1789"/>
      <c r="H267" s="1789"/>
      <c r="I267" s="1789"/>
      <c r="J267" s="1789"/>
      <c r="K267" s="1789"/>
      <c r="L267" s="1789"/>
      <c r="M267" s="1789"/>
      <c r="N267" s="1789"/>
      <c r="O267" s="1790"/>
    </row>
    <row r="268" spans="2:15" x14ac:dyDescent="0.3">
      <c r="B268" s="1795"/>
      <c r="C268" s="1798"/>
      <c r="D268" s="128" t="s">
        <v>285</v>
      </c>
      <c r="E268" s="1788"/>
      <c r="F268" s="1789"/>
      <c r="G268" s="1789"/>
      <c r="H268" s="1789"/>
      <c r="I268" s="1789"/>
      <c r="J268" s="1789"/>
      <c r="K268" s="1789"/>
      <c r="L268" s="1789"/>
      <c r="M268" s="1789"/>
      <c r="N268" s="1789"/>
      <c r="O268" s="1790"/>
    </row>
    <row r="269" spans="2:15" x14ac:dyDescent="0.3">
      <c r="B269" s="1795"/>
      <c r="C269" s="1798"/>
      <c r="D269" s="128" t="s">
        <v>584</v>
      </c>
      <c r="E269" s="1788"/>
      <c r="F269" s="1789"/>
      <c r="G269" s="1789"/>
      <c r="H269" s="1789"/>
      <c r="I269" s="1789"/>
      <c r="J269" s="1789"/>
      <c r="K269" s="1789"/>
      <c r="L269" s="1789"/>
      <c r="M269" s="1789"/>
      <c r="N269" s="1789"/>
      <c r="O269" s="1790"/>
    </row>
    <row r="270" spans="2:15" x14ac:dyDescent="0.3">
      <c r="B270" s="1795"/>
      <c r="C270" s="1798"/>
      <c r="D270" s="128" t="s">
        <v>287</v>
      </c>
      <c r="E270" s="1788"/>
      <c r="F270" s="1789"/>
      <c r="G270" s="1789"/>
      <c r="H270" s="1789"/>
      <c r="I270" s="1789"/>
      <c r="J270" s="1789"/>
      <c r="K270" s="1789"/>
      <c r="L270" s="1789"/>
      <c r="M270" s="1789"/>
      <c r="N270" s="1789"/>
      <c r="O270" s="1790"/>
    </row>
    <row r="271" spans="2:15" x14ac:dyDescent="0.3">
      <c r="B271" s="1795"/>
      <c r="C271" s="1798"/>
      <c r="D271" s="128" t="s">
        <v>288</v>
      </c>
      <c r="E271" s="1788"/>
      <c r="F271" s="1789"/>
      <c r="G271" s="1789"/>
      <c r="H271" s="1789"/>
      <c r="I271" s="1789"/>
      <c r="J271" s="1789"/>
      <c r="K271" s="1789"/>
      <c r="L271" s="1789"/>
      <c r="M271" s="1789"/>
      <c r="N271" s="1789"/>
      <c r="O271" s="1790"/>
    </row>
    <row r="272" spans="2:15" x14ac:dyDescent="0.3">
      <c r="B272" s="1795"/>
      <c r="C272" s="1798"/>
      <c r="D272" s="128" t="s">
        <v>289</v>
      </c>
      <c r="E272" s="1788"/>
      <c r="F272" s="1789"/>
      <c r="G272" s="1789"/>
      <c r="H272" s="1789"/>
      <c r="I272" s="1789"/>
      <c r="J272" s="1789"/>
      <c r="K272" s="1789"/>
      <c r="L272" s="1789"/>
      <c r="M272" s="1789"/>
      <c r="N272" s="1789"/>
      <c r="O272" s="1790"/>
    </row>
    <row r="273" spans="2:15" x14ac:dyDescent="0.3">
      <c r="B273" s="1796"/>
      <c r="C273" s="1799"/>
      <c r="D273" s="128" t="s">
        <v>290</v>
      </c>
      <c r="E273" s="1788"/>
      <c r="F273" s="1789"/>
      <c r="G273" s="1789"/>
      <c r="H273" s="1789"/>
      <c r="I273" s="1789"/>
      <c r="J273" s="1789"/>
      <c r="K273" s="1789"/>
      <c r="L273" s="1789"/>
      <c r="M273" s="1789"/>
      <c r="N273" s="1789"/>
      <c r="O273" s="1790"/>
    </row>
    <row r="274" spans="2:15" x14ac:dyDescent="0.3">
      <c r="B274" s="1794">
        <f>B262+1</f>
        <v>2</v>
      </c>
      <c r="C274" s="1797"/>
      <c r="D274" s="128" t="s">
        <v>279</v>
      </c>
      <c r="E274" s="1788"/>
      <c r="F274" s="1789"/>
      <c r="G274" s="1789"/>
      <c r="H274" s="1789"/>
      <c r="I274" s="1789"/>
      <c r="J274" s="1789"/>
      <c r="K274" s="1789"/>
      <c r="L274" s="1789"/>
      <c r="M274" s="1789"/>
      <c r="N274" s="1789"/>
      <c r="O274" s="1790"/>
    </row>
    <row r="275" spans="2:15" x14ac:dyDescent="0.3">
      <c r="B275" s="1795"/>
      <c r="C275" s="1798"/>
      <c r="D275" s="128" t="s">
        <v>280</v>
      </c>
      <c r="E275" s="1788"/>
      <c r="F275" s="1789"/>
      <c r="G275" s="1789"/>
      <c r="H275" s="1789"/>
      <c r="I275" s="1789"/>
      <c r="J275" s="1789"/>
      <c r="K275" s="1789"/>
      <c r="L275" s="1789"/>
      <c r="M275" s="1789"/>
      <c r="N275" s="1789"/>
      <c r="O275" s="1790"/>
    </row>
    <row r="276" spans="2:15" x14ac:dyDescent="0.3">
      <c r="B276" s="1795"/>
      <c r="C276" s="1798"/>
      <c r="D276" s="128" t="s">
        <v>281</v>
      </c>
      <c r="E276" s="1788"/>
      <c r="F276" s="1789"/>
      <c r="G276" s="1789"/>
      <c r="H276" s="1789"/>
      <c r="I276" s="1789"/>
      <c r="J276" s="1789"/>
      <c r="K276" s="1789"/>
      <c r="L276" s="1789"/>
      <c r="M276" s="1789"/>
      <c r="N276" s="1789"/>
      <c r="O276" s="1790"/>
    </row>
    <row r="277" spans="2:15" x14ac:dyDescent="0.3">
      <c r="B277" s="1795"/>
      <c r="C277" s="1798"/>
      <c r="D277" s="128" t="s">
        <v>583</v>
      </c>
      <c r="E277" s="1788"/>
      <c r="F277" s="1789"/>
      <c r="G277" s="1789"/>
      <c r="H277" s="1789"/>
      <c r="I277" s="1789"/>
      <c r="J277" s="1789"/>
      <c r="K277" s="1789"/>
      <c r="L277" s="1789"/>
      <c r="M277" s="1789"/>
      <c r="N277" s="1789"/>
      <c r="O277" s="1790"/>
    </row>
    <row r="278" spans="2:15" x14ac:dyDescent="0.3">
      <c r="B278" s="1795"/>
      <c r="C278" s="1798"/>
      <c r="D278" s="128" t="s">
        <v>283</v>
      </c>
      <c r="E278" s="1788"/>
      <c r="F278" s="1789"/>
      <c r="G278" s="1789"/>
      <c r="H278" s="1789"/>
      <c r="I278" s="1789"/>
      <c r="J278" s="1789"/>
      <c r="K278" s="1789"/>
      <c r="L278" s="1789"/>
      <c r="M278" s="1789"/>
      <c r="N278" s="1789"/>
      <c r="O278" s="1790"/>
    </row>
    <row r="279" spans="2:15" x14ac:dyDescent="0.3">
      <c r="B279" s="1795"/>
      <c r="C279" s="1798"/>
      <c r="D279" s="128" t="s">
        <v>284</v>
      </c>
      <c r="E279" s="1788"/>
      <c r="F279" s="1789"/>
      <c r="G279" s="1789"/>
      <c r="H279" s="1789"/>
      <c r="I279" s="1789"/>
      <c r="J279" s="1789"/>
      <c r="K279" s="1789"/>
      <c r="L279" s="1789"/>
      <c r="M279" s="1789"/>
      <c r="N279" s="1789"/>
      <c r="O279" s="1790"/>
    </row>
    <row r="280" spans="2:15" x14ac:dyDescent="0.3">
      <c r="B280" s="1795"/>
      <c r="C280" s="1798"/>
      <c r="D280" s="128" t="s">
        <v>285</v>
      </c>
      <c r="E280" s="1788"/>
      <c r="F280" s="1789"/>
      <c r="G280" s="1789"/>
      <c r="H280" s="1789"/>
      <c r="I280" s="1789"/>
      <c r="J280" s="1789"/>
      <c r="K280" s="1789"/>
      <c r="L280" s="1789"/>
      <c r="M280" s="1789"/>
      <c r="N280" s="1789"/>
      <c r="O280" s="1790"/>
    </row>
    <row r="281" spans="2:15" x14ac:dyDescent="0.3">
      <c r="B281" s="1795"/>
      <c r="C281" s="1798"/>
      <c r="D281" s="128" t="s">
        <v>584</v>
      </c>
      <c r="E281" s="1788"/>
      <c r="F281" s="1789"/>
      <c r="G281" s="1789"/>
      <c r="H281" s="1789"/>
      <c r="I281" s="1789"/>
      <c r="J281" s="1789"/>
      <c r="K281" s="1789"/>
      <c r="L281" s="1789"/>
      <c r="M281" s="1789"/>
      <c r="N281" s="1789"/>
      <c r="O281" s="1790"/>
    </row>
    <row r="282" spans="2:15" x14ac:dyDescent="0.3">
      <c r="B282" s="1795"/>
      <c r="C282" s="1798"/>
      <c r="D282" s="128" t="s">
        <v>287</v>
      </c>
      <c r="E282" s="1788"/>
      <c r="F282" s="1789"/>
      <c r="G282" s="1789"/>
      <c r="H282" s="1789"/>
      <c r="I282" s="1789"/>
      <c r="J282" s="1789"/>
      <c r="K282" s="1789"/>
      <c r="L282" s="1789"/>
      <c r="M282" s="1789"/>
      <c r="N282" s="1789"/>
      <c r="O282" s="1790"/>
    </row>
    <row r="283" spans="2:15" x14ac:dyDescent="0.3">
      <c r="B283" s="1795"/>
      <c r="C283" s="1798"/>
      <c r="D283" s="128" t="s">
        <v>288</v>
      </c>
      <c r="E283" s="1788"/>
      <c r="F283" s="1789"/>
      <c r="G283" s="1789"/>
      <c r="H283" s="1789"/>
      <c r="I283" s="1789"/>
      <c r="J283" s="1789"/>
      <c r="K283" s="1789"/>
      <c r="L283" s="1789"/>
      <c r="M283" s="1789"/>
      <c r="N283" s="1789"/>
      <c r="O283" s="1790"/>
    </row>
    <row r="284" spans="2:15" x14ac:dyDescent="0.3">
      <c r="B284" s="1795"/>
      <c r="C284" s="1798"/>
      <c r="D284" s="128" t="s">
        <v>289</v>
      </c>
      <c r="E284" s="1788"/>
      <c r="F284" s="1789"/>
      <c r="G284" s="1789"/>
      <c r="H284" s="1789"/>
      <c r="I284" s="1789"/>
      <c r="J284" s="1789"/>
      <c r="K284" s="1789"/>
      <c r="L284" s="1789"/>
      <c r="M284" s="1789"/>
      <c r="N284" s="1789"/>
      <c r="O284" s="1790"/>
    </row>
    <row r="285" spans="2:15" x14ac:dyDescent="0.3">
      <c r="B285" s="1796"/>
      <c r="C285" s="1799"/>
      <c r="D285" s="128" t="s">
        <v>290</v>
      </c>
      <c r="E285" s="1788"/>
      <c r="F285" s="1789"/>
      <c r="G285" s="1789"/>
      <c r="H285" s="1789"/>
      <c r="I285" s="1789"/>
      <c r="J285" s="1789"/>
      <c r="K285" s="1789"/>
      <c r="L285" s="1789"/>
      <c r="M285" s="1789"/>
      <c r="N285" s="1789"/>
      <c r="O285" s="1790"/>
    </row>
    <row r="286" spans="2:15" x14ac:dyDescent="0.3">
      <c r="B286" s="101">
        <v>3</v>
      </c>
      <c r="C286" s="127"/>
      <c r="D286" s="127"/>
      <c r="E286" s="1788"/>
      <c r="F286" s="1789"/>
      <c r="G286" s="1789"/>
      <c r="H286" s="1789"/>
      <c r="I286" s="1789"/>
      <c r="J286" s="1789"/>
      <c r="K286" s="1789"/>
      <c r="L286" s="1789"/>
      <c r="M286" s="1789"/>
      <c r="N286" s="1789"/>
      <c r="O286" s="1790"/>
    </row>
    <row r="287" spans="2:15" x14ac:dyDescent="0.3">
      <c r="B287" s="101" t="s">
        <v>489</v>
      </c>
      <c r="C287" s="129"/>
      <c r="D287" s="129"/>
      <c r="E287" s="1791"/>
      <c r="F287" s="1792"/>
      <c r="G287" s="1792"/>
      <c r="H287" s="1792"/>
      <c r="I287" s="1792"/>
      <c r="J287" s="1792"/>
      <c r="K287" s="1792"/>
      <c r="L287" s="1792"/>
      <c r="M287" s="1792"/>
      <c r="N287" s="1792"/>
      <c r="O287" s="1793"/>
    </row>
    <row r="289" spans="2:2" x14ac:dyDescent="0.3">
      <c r="B289" s="289" t="s">
        <v>585</v>
      </c>
    </row>
    <row r="290" spans="2:2" x14ac:dyDescent="0.3">
      <c r="B290" s="289" t="s">
        <v>654</v>
      </c>
    </row>
    <row r="291" spans="2:2" x14ac:dyDescent="0.3">
      <c r="B291" s="289" t="s">
        <v>586</v>
      </c>
    </row>
    <row r="292" spans="2:2" x14ac:dyDescent="0.3">
      <c r="B292" s="289" t="s">
        <v>656</v>
      </c>
    </row>
  </sheetData>
  <mergeCells count="120">
    <mergeCell ref="E74:O99"/>
    <mergeCell ref="B2:O2"/>
    <mergeCell ref="B3:O3"/>
    <mergeCell ref="B4:O4"/>
    <mergeCell ref="B74:B85"/>
    <mergeCell ref="C74:C85"/>
    <mergeCell ref="O188:O189"/>
    <mergeCell ref="B190:B201"/>
    <mergeCell ref="C190:C201"/>
    <mergeCell ref="O168:O169"/>
    <mergeCell ref="B170:B175"/>
    <mergeCell ref="C170:C175"/>
    <mergeCell ref="B176:B181"/>
    <mergeCell ref="C176:C181"/>
    <mergeCell ref="O137:O138"/>
    <mergeCell ref="B139:B150"/>
    <mergeCell ref="C139:C150"/>
    <mergeCell ref="B86:B97"/>
    <mergeCell ref="C86:C97"/>
    <mergeCell ref="B135:C135"/>
    <mergeCell ref="B137:B138"/>
    <mergeCell ref="C137:C138"/>
    <mergeCell ref="D137:D138"/>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0:O35"/>
    <mergeCell ref="E41:O66"/>
    <mergeCell ref="B105:B116"/>
    <mergeCell ref="C105:C116"/>
    <mergeCell ref="B117:B128"/>
    <mergeCell ref="C117:C128"/>
    <mergeCell ref="F137:J137"/>
    <mergeCell ref="K137:M137"/>
    <mergeCell ref="N137:N138"/>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B101:C101"/>
    <mergeCell ref="B103:B104"/>
    <mergeCell ref="C103:C104"/>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O103:O104"/>
    <mergeCell ref="D103:D104"/>
    <mergeCell ref="F103:J103"/>
    <mergeCell ref="B151:B162"/>
    <mergeCell ref="C151:C162"/>
    <mergeCell ref="B222:C222"/>
    <mergeCell ref="B224:B225"/>
    <mergeCell ref="C224:C225"/>
    <mergeCell ref="B166:C166"/>
    <mergeCell ref="B168:B169"/>
    <mergeCell ref="C168:C169"/>
    <mergeCell ref="B186:C186"/>
    <mergeCell ref="B188:B189"/>
    <mergeCell ref="C188:C189"/>
    <mergeCell ref="B202:B213"/>
    <mergeCell ref="C202:C213"/>
    <mergeCell ref="E190:O215"/>
    <mergeCell ref="E226:O251"/>
    <mergeCell ref="E262:O287"/>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U71"/>
  <sheetViews>
    <sheetView showGridLines="0" view="pageBreakPreview" zoomScale="75" zoomScaleNormal="75" zoomScaleSheetLayoutView="75" workbookViewId="0">
      <selection activeCell="C34" sqref="C34"/>
    </sheetView>
  </sheetViews>
  <sheetFormatPr defaultColWidth="9.36328125" defaultRowHeight="14" x14ac:dyDescent="0.25"/>
  <cols>
    <col min="1" max="1" width="6.6328125" style="13" customWidth="1"/>
    <col min="2" max="2" width="41.36328125" style="100" bestFit="1" customWidth="1"/>
    <col min="3" max="3" width="36.453125" style="13" customWidth="1"/>
    <col min="4" max="4" width="12" style="13" customWidth="1"/>
    <col min="5" max="5" width="11.6328125" style="13" customWidth="1"/>
    <col min="6" max="6" width="11" style="13" customWidth="1"/>
    <col min="7" max="7" width="14.453125" style="13" customWidth="1"/>
    <col min="8" max="8" width="13.6328125" style="13" customWidth="1"/>
    <col min="9" max="9" width="16" style="13" customWidth="1"/>
    <col min="10" max="10" width="14.36328125" style="13" customWidth="1"/>
    <col min="11" max="11" width="11.6328125" style="13" customWidth="1"/>
    <col min="12" max="12" width="11" style="13" customWidth="1"/>
    <col min="13" max="13" width="13.6328125" style="13" customWidth="1"/>
    <col min="14" max="14" width="16" style="13" customWidth="1"/>
    <col min="15" max="16384" width="9.36328125" style="13"/>
  </cols>
  <sheetData>
    <row r="2" spans="2:21" x14ac:dyDescent="0.25">
      <c r="C2" s="22"/>
      <c r="D2" s="22"/>
      <c r="E2" s="14" t="str">
        <f>Index!B2</f>
        <v xml:space="preserve">      Maharashtra State Power Generation Company Ltd.</v>
      </c>
      <c r="F2" s="22"/>
      <c r="G2" s="22"/>
      <c r="H2" s="22"/>
      <c r="I2" s="22"/>
    </row>
    <row r="3" spans="2:21" s="1" customFormat="1" x14ac:dyDescent="0.3">
      <c r="C3" s="321"/>
      <c r="D3" s="321"/>
      <c r="E3" s="14" t="str">
        <f>Index!B3</f>
        <v>MYT Petition Formats for SHP Hydro</v>
      </c>
      <c r="F3" s="321"/>
      <c r="G3" s="321"/>
      <c r="H3" s="321"/>
      <c r="I3" s="321"/>
      <c r="J3" s="132"/>
      <c r="K3" s="132"/>
      <c r="L3" s="132"/>
      <c r="M3" s="132"/>
    </row>
    <row r="4" spans="2:21" s="1" customFormat="1" x14ac:dyDescent="0.3">
      <c r="C4" s="42"/>
      <c r="D4" s="42"/>
      <c r="E4" s="133" t="s">
        <v>757</v>
      </c>
      <c r="F4" s="42"/>
      <c r="G4" s="42"/>
      <c r="H4" s="42"/>
      <c r="I4" s="42"/>
      <c r="J4" s="42"/>
      <c r="K4" s="42"/>
      <c r="L4" s="42"/>
      <c r="M4" s="42"/>
      <c r="N4" s="42"/>
    </row>
    <row r="5" spans="2:21" s="1" customFormat="1" x14ac:dyDescent="0.3">
      <c r="B5" s="133"/>
      <c r="C5" s="133"/>
      <c r="D5" s="133"/>
      <c r="E5" s="133"/>
      <c r="F5" s="133"/>
      <c r="G5" s="133"/>
      <c r="H5" s="133"/>
      <c r="I5" s="133"/>
      <c r="J5" s="42"/>
      <c r="K5" s="42"/>
      <c r="L5" s="42"/>
      <c r="M5" s="42"/>
      <c r="N5" s="42"/>
    </row>
    <row r="6" spans="2:21" s="1" customFormat="1" x14ac:dyDescent="0.3">
      <c r="B6" s="133"/>
      <c r="C6" s="133"/>
      <c r="D6" s="133"/>
      <c r="E6" s="133"/>
      <c r="F6" s="133"/>
      <c r="G6" s="133"/>
      <c r="H6" s="133"/>
      <c r="I6" s="133"/>
      <c r="J6" s="42"/>
      <c r="K6" s="42"/>
      <c r="L6" s="42"/>
      <c r="M6" s="42"/>
      <c r="N6" s="42"/>
    </row>
    <row r="7" spans="2:21" s="309" customFormat="1" x14ac:dyDescent="0.25">
      <c r="B7" s="320" t="s">
        <v>978</v>
      </c>
      <c r="C7" s="319"/>
      <c r="D7" s="319"/>
      <c r="E7" s="319"/>
      <c r="F7" s="319"/>
      <c r="G7" s="319"/>
      <c r="H7" s="319"/>
    </row>
    <row r="8" spans="2:21" s="309" customFormat="1" x14ac:dyDescent="0.25">
      <c r="B8" s="320"/>
      <c r="C8" s="319"/>
      <c r="D8" s="319"/>
      <c r="E8" s="319"/>
      <c r="F8" s="319"/>
      <c r="G8" s="319"/>
      <c r="H8" s="319"/>
    </row>
    <row r="9" spans="2:21" s="309" customFormat="1" x14ac:dyDescent="0.25">
      <c r="B9" s="313" t="s">
        <v>643</v>
      </c>
      <c r="C9" s="319"/>
      <c r="D9" s="319"/>
      <c r="E9" s="319"/>
      <c r="F9" s="319"/>
      <c r="G9" s="319"/>
      <c r="H9" s="319"/>
    </row>
    <row r="10" spans="2:21" s="309" customFormat="1" x14ac:dyDescent="0.25"/>
    <row r="11" spans="2:21" s="309" customFormat="1" x14ac:dyDescent="0.25">
      <c r="B11" s="1801" t="s">
        <v>37</v>
      </c>
      <c r="C11" s="1803" t="s">
        <v>641</v>
      </c>
      <c r="D11" s="1804"/>
      <c r="E11" s="1805"/>
      <c r="F11" s="1803" t="s">
        <v>640</v>
      </c>
      <c r="G11" s="1804"/>
      <c r="H11" s="1805"/>
      <c r="I11" s="1806" t="s">
        <v>639</v>
      </c>
      <c r="J11" s="1806" t="s">
        <v>638</v>
      </c>
    </row>
    <row r="12" spans="2:21" s="309" customFormat="1" ht="28" x14ac:dyDescent="0.25">
      <c r="B12" s="1802"/>
      <c r="C12" s="318" t="s">
        <v>637</v>
      </c>
      <c r="D12" s="318" t="s">
        <v>634</v>
      </c>
      <c r="E12" s="318" t="s">
        <v>636</v>
      </c>
      <c r="F12" s="318" t="s">
        <v>635</v>
      </c>
      <c r="G12" s="318" t="s">
        <v>634</v>
      </c>
      <c r="H12" s="317" t="s">
        <v>633</v>
      </c>
      <c r="I12" s="1806"/>
      <c r="J12" s="1806"/>
    </row>
    <row r="13" spans="2:21" s="309" customFormat="1" x14ac:dyDescent="0.25">
      <c r="B13" s="316"/>
      <c r="C13" s="315"/>
      <c r="D13" s="315"/>
      <c r="E13" s="315"/>
      <c r="F13" s="315"/>
      <c r="G13" s="315"/>
      <c r="H13" s="314"/>
      <c r="I13" s="314"/>
      <c r="J13" s="314"/>
    </row>
    <row r="14" spans="2:21" s="313" customFormat="1" x14ac:dyDescent="0.25">
      <c r="B14" s="312" t="s">
        <v>632</v>
      </c>
      <c r="C14" s="311"/>
      <c r="D14" s="311"/>
      <c r="E14" s="311"/>
      <c r="F14" s="311"/>
      <c r="G14" s="311"/>
      <c r="H14" s="311"/>
      <c r="I14" s="310"/>
      <c r="J14" s="310"/>
      <c r="K14" s="309"/>
      <c r="L14" s="309"/>
      <c r="M14" s="309"/>
      <c r="N14" s="309"/>
      <c r="O14" s="309"/>
      <c r="P14" s="309"/>
      <c r="Q14" s="309"/>
      <c r="R14" s="309"/>
      <c r="S14" s="309"/>
      <c r="T14" s="309"/>
      <c r="U14" s="309"/>
    </row>
    <row r="15" spans="2:21" s="313" customFormat="1" x14ac:dyDescent="0.25">
      <c r="B15" s="312"/>
      <c r="C15" s="311"/>
      <c r="D15" s="311"/>
      <c r="E15" s="311"/>
      <c r="F15" s="311"/>
      <c r="G15" s="311"/>
      <c r="H15" s="311"/>
      <c r="I15" s="310"/>
      <c r="J15" s="310"/>
      <c r="K15" s="309"/>
      <c r="L15" s="309"/>
      <c r="M15" s="309"/>
      <c r="N15" s="309"/>
      <c r="O15" s="309"/>
      <c r="P15" s="309"/>
      <c r="Q15" s="309"/>
      <c r="R15" s="309"/>
      <c r="S15" s="309"/>
      <c r="T15" s="309"/>
      <c r="U15" s="309"/>
    </row>
    <row r="16" spans="2:21" s="313" customFormat="1" x14ac:dyDescent="0.25">
      <c r="B16" s="310" t="s">
        <v>631</v>
      </c>
      <c r="C16" s="311"/>
      <c r="D16" s="311"/>
      <c r="E16" s="311"/>
      <c r="F16" s="311"/>
      <c r="G16" s="311"/>
      <c r="H16" s="311"/>
      <c r="I16" s="310"/>
      <c r="J16" s="310"/>
      <c r="K16" s="309"/>
      <c r="L16" s="309"/>
      <c r="M16" s="309"/>
      <c r="N16" s="309"/>
      <c r="O16" s="309"/>
      <c r="P16" s="309"/>
      <c r="Q16" s="309"/>
      <c r="R16" s="309"/>
      <c r="S16" s="309"/>
      <c r="T16" s="309"/>
      <c r="U16" s="309"/>
    </row>
    <row r="17" spans="2:21" s="313" customFormat="1" x14ac:dyDescent="0.25">
      <c r="B17" s="310" t="s">
        <v>630</v>
      </c>
      <c r="C17" s="311"/>
      <c r="D17" s="311"/>
      <c r="E17" s="311"/>
      <c r="F17" s="311"/>
      <c r="G17" s="311"/>
      <c r="H17" s="311"/>
      <c r="I17" s="310"/>
      <c r="J17" s="310"/>
      <c r="K17" s="309"/>
      <c r="L17" s="309"/>
      <c r="M17" s="309"/>
      <c r="N17" s="309"/>
      <c r="O17" s="309"/>
      <c r="P17" s="309"/>
      <c r="Q17" s="309"/>
      <c r="R17" s="309"/>
      <c r="S17" s="309"/>
      <c r="T17" s="309"/>
      <c r="U17" s="309"/>
    </row>
    <row r="18" spans="2:21" s="313" customFormat="1" x14ac:dyDescent="0.25">
      <c r="B18" s="310" t="s">
        <v>629</v>
      </c>
      <c r="C18" s="311"/>
      <c r="D18" s="311"/>
      <c r="E18" s="311"/>
      <c r="F18" s="311"/>
      <c r="G18" s="311"/>
      <c r="H18" s="311"/>
      <c r="I18" s="310"/>
      <c r="J18" s="310"/>
      <c r="K18" s="309"/>
      <c r="L18" s="309"/>
      <c r="M18" s="309"/>
      <c r="N18" s="309"/>
      <c r="O18" s="309"/>
      <c r="P18" s="309"/>
      <c r="Q18" s="309"/>
      <c r="R18" s="309"/>
      <c r="S18" s="309"/>
      <c r="T18" s="309"/>
      <c r="U18" s="309"/>
    </row>
    <row r="19" spans="2:21" s="313" customFormat="1" x14ac:dyDescent="0.25">
      <c r="B19" s="310" t="s">
        <v>624</v>
      </c>
      <c r="C19" s="311"/>
      <c r="D19" s="311"/>
      <c r="E19" s="311"/>
      <c r="F19" s="311"/>
      <c r="G19" s="311"/>
      <c r="H19" s="311"/>
      <c r="I19" s="310"/>
      <c r="J19" s="310"/>
      <c r="K19" s="309"/>
      <c r="L19" s="309"/>
      <c r="M19" s="309"/>
      <c r="N19" s="309"/>
      <c r="O19" s="309"/>
      <c r="P19" s="309"/>
      <c r="Q19" s="309"/>
      <c r="R19" s="309"/>
      <c r="S19" s="309"/>
      <c r="T19" s="309"/>
      <c r="U19" s="309"/>
    </row>
    <row r="20" spans="2:21" s="309" customFormat="1" x14ac:dyDescent="0.25">
      <c r="B20" s="312" t="s">
        <v>271</v>
      </c>
      <c r="C20" s="311"/>
      <c r="D20" s="311"/>
      <c r="E20" s="311"/>
      <c r="F20" s="311"/>
      <c r="G20" s="311"/>
      <c r="H20" s="311"/>
      <c r="I20" s="310"/>
      <c r="J20" s="310"/>
    </row>
    <row r="21" spans="2:21" s="309" customFormat="1" x14ac:dyDescent="0.25">
      <c r="B21" s="312"/>
      <c r="C21" s="311"/>
      <c r="D21" s="311"/>
      <c r="E21" s="311"/>
      <c r="F21" s="311"/>
      <c r="G21" s="311"/>
      <c r="H21" s="311"/>
      <c r="I21" s="310"/>
      <c r="J21" s="310"/>
    </row>
    <row r="22" spans="2:21" s="309" customFormat="1" x14ac:dyDescent="0.25">
      <c r="B22" s="312"/>
      <c r="C22" s="311"/>
      <c r="D22" s="311"/>
      <c r="E22" s="311"/>
      <c r="F22" s="311"/>
      <c r="G22" s="311"/>
      <c r="H22" s="311"/>
      <c r="I22" s="310"/>
      <c r="J22" s="310"/>
    </row>
    <row r="23" spans="2:21" s="313" customFormat="1" x14ac:dyDescent="0.25">
      <c r="B23" s="312" t="s">
        <v>628</v>
      </c>
      <c r="C23" s="311"/>
      <c r="D23" s="311"/>
      <c r="E23" s="311"/>
      <c r="F23" s="311"/>
      <c r="G23" s="311"/>
      <c r="H23" s="311"/>
      <c r="I23" s="310"/>
      <c r="J23" s="310"/>
      <c r="K23" s="309"/>
      <c r="L23" s="309"/>
      <c r="M23" s="309"/>
      <c r="N23" s="309"/>
      <c r="O23" s="309"/>
      <c r="P23" s="309"/>
      <c r="Q23" s="309"/>
      <c r="R23" s="309"/>
      <c r="S23" s="309"/>
      <c r="T23" s="309"/>
      <c r="U23" s="309"/>
    </row>
    <row r="24" spans="2:21" s="309" customFormat="1" x14ac:dyDescent="0.25">
      <c r="B24" s="310"/>
      <c r="C24" s="311"/>
      <c r="D24" s="311"/>
      <c r="E24" s="311"/>
      <c r="F24" s="311"/>
      <c r="G24" s="311"/>
      <c r="H24" s="311"/>
      <c r="I24" s="310"/>
      <c r="J24" s="310"/>
    </row>
    <row r="25" spans="2:21" s="309" customFormat="1" x14ac:dyDescent="0.25">
      <c r="B25" s="310" t="s">
        <v>627</v>
      </c>
      <c r="C25" s="311"/>
      <c r="D25" s="311"/>
      <c r="E25" s="311"/>
      <c r="F25" s="311"/>
      <c r="G25" s="311"/>
      <c r="H25" s="311"/>
      <c r="I25" s="310"/>
      <c r="J25" s="310"/>
    </row>
    <row r="26" spans="2:21" s="309" customFormat="1" x14ac:dyDescent="0.25">
      <c r="B26" s="310" t="s">
        <v>626</v>
      </c>
      <c r="C26" s="311"/>
      <c r="D26" s="311"/>
      <c r="E26" s="311"/>
      <c r="F26" s="311"/>
      <c r="G26" s="311"/>
      <c r="H26" s="311"/>
      <c r="I26" s="310"/>
      <c r="J26" s="310"/>
    </row>
    <row r="27" spans="2:21" s="309" customFormat="1" x14ac:dyDescent="0.25">
      <c r="B27" s="310" t="s">
        <v>625</v>
      </c>
      <c r="C27" s="311"/>
      <c r="D27" s="311"/>
      <c r="E27" s="311"/>
      <c r="F27" s="311"/>
      <c r="G27" s="311"/>
      <c r="H27" s="311"/>
      <c r="I27" s="310"/>
      <c r="J27" s="310"/>
    </row>
    <row r="28" spans="2:21" s="309" customFormat="1" x14ac:dyDescent="0.25">
      <c r="B28" s="310" t="s">
        <v>624</v>
      </c>
      <c r="C28" s="311"/>
      <c r="D28" s="311"/>
      <c r="E28" s="311"/>
      <c r="F28" s="311"/>
      <c r="G28" s="311"/>
      <c r="H28" s="311"/>
      <c r="I28" s="310"/>
      <c r="J28" s="310"/>
    </row>
    <row r="29" spans="2:21" s="309" customFormat="1" x14ac:dyDescent="0.25">
      <c r="B29" s="312" t="s">
        <v>271</v>
      </c>
      <c r="C29" s="311"/>
      <c r="D29" s="311"/>
      <c r="E29" s="311"/>
      <c r="F29" s="311"/>
      <c r="G29" s="311"/>
      <c r="H29" s="311"/>
      <c r="I29" s="310"/>
      <c r="J29" s="310"/>
    </row>
    <row r="30" spans="2:21" s="309" customFormat="1" x14ac:dyDescent="0.25">
      <c r="B30" s="312"/>
      <c r="C30" s="311"/>
      <c r="D30" s="311"/>
      <c r="E30" s="311"/>
      <c r="F30" s="311"/>
      <c r="G30" s="311"/>
      <c r="H30" s="311"/>
      <c r="I30" s="310"/>
      <c r="J30" s="310"/>
    </row>
    <row r="31" spans="2:21" s="309" customFormat="1" x14ac:dyDescent="0.25">
      <c r="B31" s="312" t="s">
        <v>644</v>
      </c>
      <c r="C31" s="311"/>
      <c r="D31" s="311"/>
      <c r="E31" s="311"/>
      <c r="F31" s="311"/>
      <c r="G31" s="311"/>
      <c r="H31" s="311"/>
      <c r="I31" s="310"/>
      <c r="J31" s="310"/>
    </row>
    <row r="32" spans="2:21" x14ac:dyDescent="0.25">
      <c r="B32" s="310"/>
      <c r="C32" s="311"/>
      <c r="D32" s="311"/>
      <c r="E32" s="311"/>
      <c r="F32" s="311"/>
      <c r="G32" s="311"/>
      <c r="H32" s="311"/>
      <c r="I32" s="310"/>
      <c r="J32" s="310"/>
    </row>
    <row r="33" spans="2:10" x14ac:dyDescent="0.25">
      <c r="B33" s="310" t="s">
        <v>645</v>
      </c>
      <c r="C33" s="311"/>
      <c r="D33" s="311"/>
      <c r="E33" s="311"/>
      <c r="F33" s="311"/>
      <c r="G33" s="311"/>
      <c r="H33" s="311"/>
      <c r="I33" s="310"/>
      <c r="J33" s="310"/>
    </row>
    <row r="34" spans="2:10" x14ac:dyDescent="0.25">
      <c r="B34" s="310" t="s">
        <v>646</v>
      </c>
      <c r="C34" s="311"/>
      <c r="D34" s="311"/>
      <c r="E34" s="311"/>
      <c r="F34" s="311"/>
      <c r="G34" s="311"/>
      <c r="H34" s="311"/>
      <c r="I34" s="310"/>
      <c r="J34" s="310"/>
    </row>
    <row r="35" spans="2:10" x14ac:dyDescent="0.25">
      <c r="B35" s="310" t="s">
        <v>647</v>
      </c>
      <c r="C35" s="311"/>
      <c r="D35" s="311"/>
      <c r="E35" s="311"/>
      <c r="F35" s="311"/>
      <c r="G35" s="311"/>
      <c r="H35" s="311"/>
      <c r="I35" s="310"/>
      <c r="J35" s="310"/>
    </row>
    <row r="36" spans="2:10" x14ac:dyDescent="0.25">
      <c r="B36" s="310" t="s">
        <v>624</v>
      </c>
      <c r="C36" s="311"/>
      <c r="D36" s="311"/>
      <c r="E36" s="311"/>
      <c r="F36" s="311"/>
      <c r="G36" s="311"/>
      <c r="H36" s="311"/>
      <c r="I36" s="310"/>
      <c r="J36" s="310"/>
    </row>
    <row r="37" spans="2:10" x14ac:dyDescent="0.25">
      <c r="B37" s="312" t="s">
        <v>271</v>
      </c>
      <c r="C37" s="311"/>
      <c r="D37" s="311"/>
      <c r="E37" s="311"/>
      <c r="F37" s="311"/>
      <c r="G37" s="311"/>
      <c r="H37" s="311"/>
      <c r="I37" s="310"/>
      <c r="J37" s="310"/>
    </row>
    <row r="41" spans="2:10" x14ac:dyDescent="0.25">
      <c r="B41" s="320" t="s">
        <v>979</v>
      </c>
      <c r="C41" s="319"/>
      <c r="D41" s="319"/>
      <c r="E41" s="319"/>
      <c r="F41" s="319"/>
      <c r="G41" s="319"/>
      <c r="H41" s="319"/>
      <c r="I41" s="309"/>
      <c r="J41" s="309"/>
    </row>
    <row r="42" spans="2:10" x14ac:dyDescent="0.25">
      <c r="B42" s="320"/>
      <c r="C42" s="319"/>
      <c r="D42" s="319"/>
      <c r="E42" s="319"/>
      <c r="F42" s="319"/>
      <c r="G42" s="319"/>
      <c r="H42" s="319"/>
      <c r="I42" s="309"/>
      <c r="J42" s="309"/>
    </row>
    <row r="43" spans="2:10" x14ac:dyDescent="0.25">
      <c r="B43" s="313" t="s">
        <v>643</v>
      </c>
      <c r="C43" s="319"/>
      <c r="D43" s="319"/>
      <c r="E43" s="319"/>
      <c r="F43" s="319"/>
      <c r="G43" s="319"/>
      <c r="H43" s="319"/>
      <c r="I43" s="309"/>
      <c r="J43" s="309"/>
    </row>
    <row r="44" spans="2:10" x14ac:dyDescent="0.25">
      <c r="B44" s="309"/>
      <c r="C44" s="309"/>
      <c r="D44" s="309"/>
      <c r="E44" s="309"/>
      <c r="F44" s="309"/>
      <c r="G44" s="309"/>
      <c r="H44" s="309"/>
      <c r="I44" s="309"/>
      <c r="J44" s="309"/>
    </row>
    <row r="45" spans="2:10" x14ac:dyDescent="0.25">
      <c r="B45" s="1801" t="s">
        <v>37</v>
      </c>
      <c r="C45" s="1803" t="s">
        <v>641</v>
      </c>
      <c r="D45" s="1804"/>
      <c r="E45" s="1805"/>
      <c r="F45" s="1803" t="s">
        <v>640</v>
      </c>
      <c r="G45" s="1804"/>
      <c r="H45" s="1805"/>
      <c r="I45" s="1806" t="s">
        <v>639</v>
      </c>
      <c r="J45" s="1806" t="s">
        <v>638</v>
      </c>
    </row>
    <row r="46" spans="2:10" ht="28" x14ac:dyDescent="0.25">
      <c r="B46" s="1802"/>
      <c r="C46" s="318" t="s">
        <v>637</v>
      </c>
      <c r="D46" s="318" t="s">
        <v>634</v>
      </c>
      <c r="E46" s="318" t="s">
        <v>636</v>
      </c>
      <c r="F46" s="318" t="s">
        <v>635</v>
      </c>
      <c r="G46" s="318" t="s">
        <v>634</v>
      </c>
      <c r="H46" s="341" t="s">
        <v>633</v>
      </c>
      <c r="I46" s="1806"/>
      <c r="J46" s="1806"/>
    </row>
    <row r="47" spans="2:10" x14ac:dyDescent="0.25">
      <c r="B47" s="316"/>
      <c r="C47" s="315"/>
      <c r="D47" s="315"/>
      <c r="E47" s="315"/>
      <c r="F47" s="315"/>
      <c r="G47" s="315"/>
      <c r="H47" s="314"/>
      <c r="I47" s="314"/>
      <c r="J47" s="314"/>
    </row>
    <row r="48" spans="2:10" x14ac:dyDescent="0.25">
      <c r="B48" s="312" t="s">
        <v>632</v>
      </c>
      <c r="C48" s="311"/>
      <c r="D48" s="311"/>
      <c r="E48" s="311"/>
      <c r="F48" s="311"/>
      <c r="G48" s="311"/>
      <c r="H48" s="311"/>
      <c r="I48" s="310"/>
      <c r="J48" s="310"/>
    </row>
    <row r="49" spans="2:10" x14ac:dyDescent="0.25">
      <c r="B49" s="312"/>
      <c r="C49" s="311"/>
      <c r="D49" s="311"/>
      <c r="E49" s="311"/>
      <c r="F49" s="311"/>
      <c r="G49" s="311"/>
      <c r="H49" s="311"/>
      <c r="I49" s="310"/>
      <c r="J49" s="310"/>
    </row>
    <row r="50" spans="2:10" x14ac:dyDescent="0.25">
      <c r="B50" s="310" t="s">
        <v>631</v>
      </c>
      <c r="C50" s="311"/>
      <c r="D50" s="311"/>
      <c r="E50" s="311"/>
      <c r="F50" s="311"/>
      <c r="G50" s="311"/>
      <c r="H50" s="311"/>
      <c r="I50" s="310"/>
      <c r="J50" s="310"/>
    </row>
    <row r="51" spans="2:10" x14ac:dyDescent="0.25">
      <c r="B51" s="310" t="s">
        <v>630</v>
      </c>
      <c r="C51" s="311"/>
      <c r="D51" s="311"/>
      <c r="E51" s="311"/>
      <c r="F51" s="311"/>
      <c r="G51" s="311"/>
      <c r="H51" s="311"/>
      <c r="I51" s="310"/>
      <c r="J51" s="310"/>
    </row>
    <row r="52" spans="2:10" x14ac:dyDescent="0.25">
      <c r="B52" s="310" t="s">
        <v>629</v>
      </c>
      <c r="C52" s="311"/>
      <c r="D52" s="311"/>
      <c r="E52" s="311"/>
      <c r="F52" s="311"/>
      <c r="G52" s="311"/>
      <c r="H52" s="311"/>
      <c r="I52" s="310"/>
      <c r="J52" s="310"/>
    </row>
    <row r="53" spans="2:10" x14ac:dyDescent="0.25">
      <c r="B53" s="310" t="s">
        <v>624</v>
      </c>
      <c r="C53" s="311"/>
      <c r="D53" s="311"/>
      <c r="E53" s="311"/>
      <c r="F53" s="311"/>
      <c r="G53" s="311"/>
      <c r="H53" s="311"/>
      <c r="I53" s="310"/>
      <c r="J53" s="310"/>
    </row>
    <row r="54" spans="2:10" x14ac:dyDescent="0.25">
      <c r="B54" s="312" t="s">
        <v>271</v>
      </c>
      <c r="C54" s="311"/>
      <c r="D54" s="311"/>
      <c r="E54" s="311"/>
      <c r="F54" s="311"/>
      <c r="G54" s="311"/>
      <c r="H54" s="311"/>
      <c r="I54" s="310"/>
      <c r="J54" s="310"/>
    </row>
    <row r="55" spans="2:10" x14ac:dyDescent="0.25">
      <c r="B55" s="312"/>
      <c r="C55" s="311"/>
      <c r="D55" s="311"/>
      <c r="E55" s="311"/>
      <c r="F55" s="311"/>
      <c r="G55" s="311"/>
      <c r="H55" s="311"/>
      <c r="I55" s="310"/>
      <c r="J55" s="310"/>
    </row>
    <row r="56" spans="2:10" x14ac:dyDescent="0.25">
      <c r="B56" s="312"/>
      <c r="C56" s="311"/>
      <c r="D56" s="311"/>
      <c r="E56" s="311"/>
      <c r="F56" s="311"/>
      <c r="G56" s="311"/>
      <c r="H56" s="311"/>
      <c r="I56" s="310"/>
      <c r="J56" s="310"/>
    </row>
    <row r="57" spans="2:10" x14ac:dyDescent="0.25">
      <c r="B57" s="312" t="s">
        <v>628</v>
      </c>
      <c r="C57" s="311"/>
      <c r="D57" s="311"/>
      <c r="E57" s="311"/>
      <c r="F57" s="311"/>
      <c r="G57" s="311"/>
      <c r="H57" s="311"/>
      <c r="I57" s="310"/>
      <c r="J57" s="310"/>
    </row>
    <row r="58" spans="2:10" x14ac:dyDescent="0.25">
      <c r="B58" s="310"/>
      <c r="C58" s="311"/>
      <c r="D58" s="311"/>
      <c r="E58" s="311"/>
      <c r="F58" s="311"/>
      <c r="G58" s="311"/>
      <c r="H58" s="311"/>
      <c r="I58" s="310"/>
      <c r="J58" s="310"/>
    </row>
    <row r="59" spans="2:10" x14ac:dyDescent="0.25">
      <c r="B59" s="310" t="s">
        <v>627</v>
      </c>
      <c r="C59" s="311"/>
      <c r="D59" s="311"/>
      <c r="E59" s="311"/>
      <c r="F59" s="311"/>
      <c r="G59" s="311"/>
      <c r="H59" s="311"/>
      <c r="I59" s="310"/>
      <c r="J59" s="310"/>
    </row>
    <row r="60" spans="2:10" x14ac:dyDescent="0.25">
      <c r="B60" s="310" t="s">
        <v>626</v>
      </c>
      <c r="C60" s="311"/>
      <c r="D60" s="311"/>
      <c r="E60" s="311"/>
      <c r="F60" s="311"/>
      <c r="G60" s="311"/>
      <c r="H60" s="311"/>
      <c r="I60" s="310"/>
      <c r="J60" s="310"/>
    </row>
    <row r="61" spans="2:10" x14ac:dyDescent="0.25">
      <c r="B61" s="310" t="s">
        <v>625</v>
      </c>
      <c r="C61" s="311"/>
      <c r="D61" s="311"/>
      <c r="E61" s="311"/>
      <c r="F61" s="311"/>
      <c r="G61" s="311"/>
      <c r="H61" s="311"/>
      <c r="I61" s="310"/>
      <c r="J61" s="310"/>
    </row>
    <row r="62" spans="2:10" x14ac:dyDescent="0.25">
      <c r="B62" s="310" t="s">
        <v>624</v>
      </c>
      <c r="C62" s="311"/>
      <c r="D62" s="311"/>
      <c r="E62" s="311"/>
      <c r="F62" s="311"/>
      <c r="G62" s="311"/>
      <c r="H62" s="311"/>
      <c r="I62" s="310"/>
      <c r="J62" s="310"/>
    </row>
    <row r="63" spans="2:10" x14ac:dyDescent="0.25">
      <c r="B63" s="312" t="s">
        <v>271</v>
      </c>
      <c r="C63" s="311"/>
      <c r="D63" s="311"/>
      <c r="E63" s="311"/>
      <c r="F63" s="311"/>
      <c r="G63" s="311"/>
      <c r="H63" s="311"/>
      <c r="I63" s="310"/>
      <c r="J63" s="310"/>
    </row>
    <row r="64" spans="2:10" x14ac:dyDescent="0.25">
      <c r="B64" s="312"/>
      <c r="C64" s="311"/>
      <c r="D64" s="311"/>
      <c r="E64" s="311"/>
      <c r="F64" s="311"/>
      <c r="G64" s="311"/>
      <c r="H64" s="311"/>
      <c r="I64" s="310"/>
      <c r="J64" s="310"/>
    </row>
    <row r="65" spans="2:10" x14ac:dyDescent="0.25">
      <c r="B65" s="312" t="s">
        <v>644</v>
      </c>
      <c r="C65" s="311"/>
      <c r="D65" s="311"/>
      <c r="E65" s="311"/>
      <c r="F65" s="311"/>
      <c r="G65" s="311"/>
      <c r="H65" s="311"/>
      <c r="I65" s="310"/>
      <c r="J65" s="310"/>
    </row>
    <row r="66" spans="2:10" x14ac:dyDescent="0.25">
      <c r="B66" s="310"/>
      <c r="C66" s="311"/>
      <c r="D66" s="311"/>
      <c r="E66" s="311"/>
      <c r="F66" s="311"/>
      <c r="G66" s="311"/>
      <c r="H66" s="311"/>
      <c r="I66" s="310"/>
      <c r="J66" s="310"/>
    </row>
    <row r="67" spans="2:10" x14ac:dyDescent="0.25">
      <c r="B67" s="310" t="s">
        <v>645</v>
      </c>
      <c r="C67" s="311"/>
      <c r="D67" s="311"/>
      <c r="E67" s="311"/>
      <c r="F67" s="311"/>
      <c r="G67" s="311"/>
      <c r="H67" s="311"/>
      <c r="I67" s="310"/>
      <c r="J67" s="310"/>
    </row>
    <row r="68" spans="2:10" x14ac:dyDescent="0.25">
      <c r="B68" s="310" t="s">
        <v>646</v>
      </c>
      <c r="C68" s="311"/>
      <c r="D68" s="311"/>
      <c r="E68" s="311"/>
      <c r="F68" s="311"/>
      <c r="G68" s="311"/>
      <c r="H68" s="311"/>
      <c r="I68" s="310"/>
      <c r="J68" s="310"/>
    </row>
    <row r="69" spans="2:10" x14ac:dyDescent="0.25">
      <c r="B69" s="310" t="s">
        <v>647</v>
      </c>
      <c r="C69" s="311"/>
      <c r="D69" s="311"/>
      <c r="E69" s="311"/>
      <c r="F69" s="311"/>
      <c r="G69" s="311"/>
      <c r="H69" s="311"/>
      <c r="I69" s="310"/>
      <c r="J69" s="310"/>
    </row>
    <row r="70" spans="2:10" x14ac:dyDescent="0.25">
      <c r="B70" s="310" t="s">
        <v>624</v>
      </c>
      <c r="C70" s="311"/>
      <c r="D70" s="311"/>
      <c r="E70" s="311"/>
      <c r="F70" s="311"/>
      <c r="G70" s="311"/>
      <c r="H70" s="311"/>
      <c r="I70" s="310"/>
      <c r="J70" s="310"/>
    </row>
    <row r="71" spans="2:10" x14ac:dyDescent="0.25">
      <c r="B71" s="312" t="s">
        <v>271</v>
      </c>
      <c r="C71" s="311"/>
      <c r="D71" s="311"/>
      <c r="E71" s="311"/>
      <c r="F71" s="311"/>
      <c r="G71" s="311"/>
      <c r="H71" s="311"/>
      <c r="I71" s="310"/>
      <c r="J71" s="310"/>
    </row>
  </sheetData>
  <mergeCells count="10">
    <mergeCell ref="B45:B46"/>
    <mergeCell ref="C45:E45"/>
    <mergeCell ref="F45:H45"/>
    <mergeCell ref="I45:I46"/>
    <mergeCell ref="J45:J46"/>
    <mergeCell ref="B11:B12"/>
    <mergeCell ref="C11:E11"/>
    <mergeCell ref="F11:H11"/>
    <mergeCell ref="I11:I12"/>
    <mergeCell ref="J11:J12"/>
  </mergeCells>
  <pageMargins left="0.75" right="0.75" top="1" bottom="1" header="0.5" footer="0.5"/>
  <pageSetup paperSize="9" scale="4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L29"/>
  <sheetViews>
    <sheetView workbookViewId="0">
      <selection activeCell="A3" sqref="A3:T3"/>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468" t="str">
        <f>Index!B2</f>
        <v xml:space="preserve">      Maharashtra State Power Generation Company Ltd.</v>
      </c>
      <c r="C2" s="1468"/>
      <c r="D2" s="1468"/>
      <c r="E2" s="1807"/>
      <c r="F2" s="1807"/>
      <c r="G2" s="1807"/>
      <c r="H2" s="1807"/>
      <c r="I2" s="1807"/>
      <c r="J2" s="1807"/>
      <c r="K2" s="1807"/>
      <c r="L2" s="1807"/>
    </row>
    <row r="3" spans="2:12" ht="14.15" customHeight="1" x14ac:dyDescent="0.3">
      <c r="B3" s="1757" t="s">
        <v>1008</v>
      </c>
      <c r="C3" s="1757"/>
      <c r="D3" s="1757"/>
      <c r="E3" s="1807"/>
      <c r="F3" s="1807"/>
      <c r="G3" s="1807"/>
      <c r="H3" s="1807"/>
      <c r="I3" s="1807"/>
      <c r="J3" s="1807"/>
      <c r="K3" s="1807"/>
      <c r="L3" s="1807"/>
    </row>
    <row r="4" spans="2:12" ht="14.15" customHeight="1" x14ac:dyDescent="0.3">
      <c r="B4" s="1757" t="s">
        <v>1009</v>
      </c>
      <c r="C4" s="1757"/>
      <c r="D4" s="1757"/>
      <c r="E4" s="1807"/>
      <c r="F4" s="1807"/>
      <c r="G4" s="1807"/>
      <c r="H4" s="1807"/>
      <c r="I4" s="1807"/>
      <c r="J4" s="1807"/>
      <c r="K4" s="1807"/>
      <c r="L4" s="1807"/>
    </row>
    <row r="5" spans="2:12" ht="14.15" customHeight="1" x14ac:dyDescent="0.3">
      <c r="B5" s="1468" t="str">
        <f>Index!B3</f>
        <v>MYT Petition Formats for SHP Hydro</v>
      </c>
      <c r="C5" s="1468"/>
      <c r="D5" s="1468"/>
      <c r="E5" s="1807"/>
      <c r="F5" s="1807"/>
      <c r="G5" s="1807"/>
      <c r="H5" s="1807"/>
      <c r="I5" s="1807"/>
      <c r="J5" s="1807"/>
      <c r="K5" s="1807"/>
      <c r="L5" s="1807"/>
    </row>
    <row r="6" spans="2:12" x14ac:dyDescent="0.3">
      <c r="B6" s="657"/>
      <c r="C6" s="657"/>
      <c r="D6" s="657"/>
      <c r="E6" s="699"/>
      <c r="F6" s="699"/>
      <c r="G6" s="699"/>
    </row>
    <row r="7" spans="2:12" ht="14.15" customHeight="1" x14ac:dyDescent="0.3">
      <c r="B7" s="1521" t="s">
        <v>343</v>
      </c>
      <c r="C7" s="1521" t="s">
        <v>1010</v>
      </c>
      <c r="D7" s="1524" t="s">
        <v>1011</v>
      </c>
      <c r="E7" s="1523" t="s">
        <v>1012</v>
      </c>
      <c r="F7" s="1526" t="s">
        <v>1013</v>
      </c>
      <c r="G7" s="1524" t="s">
        <v>1014</v>
      </c>
      <c r="H7" s="1476" t="s">
        <v>1015</v>
      </c>
      <c r="I7" s="1476"/>
      <c r="J7" s="1476"/>
      <c r="K7" s="1476"/>
      <c r="L7" s="1476"/>
    </row>
    <row r="8" spans="2:12" s="132" customFormat="1" ht="44.25" customHeight="1" x14ac:dyDescent="0.25">
      <c r="B8" s="1521"/>
      <c r="C8" s="1521"/>
      <c r="D8" s="1809"/>
      <c r="E8" s="1523"/>
      <c r="F8" s="1811"/>
      <c r="G8" s="1811"/>
      <c r="H8" s="655" t="s">
        <v>940</v>
      </c>
      <c r="I8" s="654" t="s">
        <v>941</v>
      </c>
      <c r="J8" s="654" t="s">
        <v>945</v>
      </c>
      <c r="K8" s="654" t="s">
        <v>942</v>
      </c>
      <c r="L8" s="654" t="s">
        <v>944</v>
      </c>
    </row>
    <row r="9" spans="2:12" s="132" customFormat="1" ht="14.15" customHeight="1" x14ac:dyDescent="0.25">
      <c r="B9" s="1808"/>
      <c r="C9" s="1808"/>
      <c r="D9" s="1525"/>
      <c r="E9" s="1810"/>
      <c r="F9" s="1527"/>
      <c r="G9" s="1527"/>
      <c r="H9" s="655" t="s">
        <v>21</v>
      </c>
      <c r="I9" s="654" t="s">
        <v>21</v>
      </c>
      <c r="J9" s="654" t="s">
        <v>21</v>
      </c>
      <c r="K9" s="654" t="s">
        <v>21</v>
      </c>
      <c r="L9" s="654" t="s">
        <v>21</v>
      </c>
    </row>
    <row r="10" spans="2:12" s="132" customFormat="1" x14ac:dyDescent="0.25">
      <c r="B10" s="700"/>
      <c r="C10" s="700"/>
      <c r="D10" s="700"/>
      <c r="E10" s="701"/>
      <c r="F10" s="701"/>
      <c r="G10" s="701"/>
      <c r="H10" s="38"/>
      <c r="I10" s="38"/>
      <c r="J10" s="38"/>
      <c r="K10" s="38"/>
      <c r="L10" s="38"/>
    </row>
    <row r="11" spans="2:12" s="42" customFormat="1" x14ac:dyDescent="0.3">
      <c r="B11" s="141">
        <v>1</v>
      </c>
      <c r="C11" s="141" t="s">
        <v>1016</v>
      </c>
      <c r="D11" s="141"/>
      <c r="E11" s="9"/>
      <c r="F11" s="9"/>
      <c r="G11" s="9"/>
      <c r="H11" s="38"/>
      <c r="I11" s="38"/>
      <c r="J11" s="38"/>
      <c r="K11" s="38"/>
      <c r="L11" s="38"/>
    </row>
    <row r="12" spans="2:12" s="42" customFormat="1" x14ac:dyDescent="0.3">
      <c r="B12" s="702"/>
      <c r="C12" s="703" t="s">
        <v>1017</v>
      </c>
      <c r="D12" s="703"/>
      <c r="E12" s="464"/>
      <c r="F12" s="464"/>
      <c r="G12" s="464"/>
      <c r="H12" s="704"/>
      <c r="I12" s="704"/>
      <c r="J12" s="704"/>
      <c r="K12" s="704"/>
      <c r="L12" s="704"/>
    </row>
    <row r="13" spans="2:12" s="42" customFormat="1" x14ac:dyDescent="0.3">
      <c r="B13" s="39"/>
      <c r="C13" s="705" t="s">
        <v>1018</v>
      </c>
      <c r="D13" s="705"/>
      <c r="E13" s="706"/>
      <c r="F13" s="706"/>
      <c r="G13" s="706"/>
      <c r="H13" s="38"/>
      <c r="I13" s="38"/>
      <c r="J13" s="38"/>
      <c r="K13" s="38"/>
      <c r="L13" s="38"/>
    </row>
    <row r="14" spans="2:12" s="42" customFormat="1" x14ac:dyDescent="0.3">
      <c r="B14" s="707"/>
      <c r="C14" s="707"/>
      <c r="D14" s="707"/>
      <c r="E14" s="464"/>
      <c r="F14" s="464"/>
      <c r="G14" s="464"/>
      <c r="H14" s="39"/>
      <c r="I14" s="39"/>
      <c r="J14" s="39"/>
      <c r="K14" s="39"/>
      <c r="L14" s="39"/>
    </row>
    <row r="15" spans="2:12" s="42" customFormat="1" x14ac:dyDescent="0.3">
      <c r="B15" s="141">
        <f>B12+1</f>
        <v>1</v>
      </c>
      <c r="C15" s="141"/>
      <c r="D15" s="141"/>
      <c r="E15" s="464"/>
      <c r="F15" s="464"/>
      <c r="G15" s="464"/>
      <c r="H15" s="39"/>
      <c r="I15" s="39"/>
      <c r="J15" s="39"/>
      <c r="K15" s="39"/>
      <c r="L15" s="39"/>
    </row>
    <row r="16" spans="2:12" s="42" customFormat="1" x14ac:dyDescent="0.3">
      <c r="B16" s="141"/>
      <c r="C16" s="141"/>
      <c r="D16" s="141"/>
      <c r="E16" s="464"/>
      <c r="F16" s="464"/>
      <c r="G16" s="464"/>
      <c r="H16" s="39"/>
      <c r="I16" s="39"/>
      <c r="J16" s="39"/>
      <c r="K16" s="39"/>
      <c r="L16" s="39"/>
    </row>
    <row r="17" spans="2:12" s="42" customFormat="1" x14ac:dyDescent="0.3">
      <c r="B17" s="141"/>
      <c r="C17" s="141"/>
      <c r="D17" s="141"/>
      <c r="E17" s="708"/>
      <c r="F17" s="708"/>
      <c r="G17" s="708"/>
      <c r="H17" s="39"/>
      <c r="I17" s="39"/>
      <c r="J17" s="39"/>
      <c r="K17" s="39"/>
      <c r="L17" s="39"/>
    </row>
    <row r="18" spans="2:12" s="42" customFormat="1" x14ac:dyDescent="0.3">
      <c r="B18" s="141"/>
      <c r="C18" s="141"/>
      <c r="D18" s="141"/>
      <c r="E18" s="708"/>
      <c r="F18" s="708"/>
      <c r="G18" s="708"/>
      <c r="H18" s="39"/>
      <c r="I18" s="39"/>
      <c r="J18" s="39"/>
      <c r="K18" s="39"/>
      <c r="L18" s="39"/>
    </row>
    <row r="19" spans="2:12" s="42" customFormat="1" x14ac:dyDescent="0.3">
      <c r="B19" s="141"/>
      <c r="C19" s="141"/>
      <c r="D19" s="141"/>
      <c r="E19" s="708"/>
      <c r="F19" s="708"/>
      <c r="G19" s="708"/>
      <c r="H19" s="39"/>
      <c r="I19" s="39"/>
      <c r="J19" s="39"/>
      <c r="K19" s="39"/>
      <c r="L19" s="39"/>
    </row>
    <row r="20" spans="2:12" s="42" customFormat="1" x14ac:dyDescent="0.3">
      <c r="B20" s="141"/>
      <c r="C20" s="141"/>
      <c r="D20" s="141"/>
      <c r="E20" s="709"/>
      <c r="F20" s="709"/>
      <c r="G20" s="709"/>
      <c r="H20" s="39"/>
      <c r="I20" s="39"/>
      <c r="J20" s="39"/>
      <c r="K20" s="39"/>
      <c r="L20" s="39"/>
    </row>
    <row r="21" spans="2:12" s="42" customFormat="1" x14ac:dyDescent="0.3">
      <c r="B21" s="141"/>
      <c r="C21" s="141"/>
      <c r="D21" s="141"/>
      <c r="E21" s="708"/>
      <c r="F21" s="708"/>
      <c r="G21" s="708"/>
      <c r="H21" s="39"/>
      <c r="I21" s="39"/>
      <c r="J21" s="39"/>
      <c r="K21" s="39"/>
      <c r="L21" s="39"/>
    </row>
    <row r="22" spans="2:12" x14ac:dyDescent="0.3">
      <c r="E22" s="132"/>
      <c r="F22" s="132"/>
      <c r="G22" s="132"/>
      <c r="H22" s="42"/>
      <c r="I22" s="42"/>
      <c r="J22" s="42"/>
      <c r="K22" s="42"/>
      <c r="L22" s="42"/>
    </row>
    <row r="23" spans="2:12" x14ac:dyDescent="0.3">
      <c r="B23" s="710"/>
      <c r="C23" s="710"/>
      <c r="D23" s="710"/>
      <c r="E23" s="711"/>
      <c r="F23" s="711"/>
      <c r="G23" s="711"/>
      <c r="H23" s="42"/>
      <c r="I23" s="42"/>
      <c r="J23" s="42"/>
      <c r="K23" s="42"/>
      <c r="L23" s="42"/>
    </row>
    <row r="24" spans="2:12" x14ac:dyDescent="0.3">
      <c r="C24" s="42" t="s">
        <v>152</v>
      </c>
      <c r="D24" s="661" t="s">
        <v>1019</v>
      </c>
      <c r="H24" s="42"/>
      <c r="I24" s="42"/>
      <c r="J24" s="42"/>
      <c r="K24" s="42"/>
      <c r="L24" s="42"/>
    </row>
    <row r="25" spans="2:12" ht="18" customHeight="1" x14ac:dyDescent="0.3">
      <c r="E25" s="712"/>
      <c r="F25" s="712"/>
      <c r="G25" s="712"/>
    </row>
    <row r="26" spans="2:12" x14ac:dyDescent="0.3">
      <c r="B26" s="711"/>
      <c r="C26" s="711"/>
      <c r="D26" s="711"/>
      <c r="E26" s="711"/>
      <c r="F26" s="711"/>
      <c r="G26" s="711"/>
    </row>
    <row r="27" spans="2:12" x14ac:dyDescent="0.3">
      <c r="B27" s="711"/>
      <c r="C27" s="711"/>
      <c r="D27" s="711"/>
      <c r="E27" s="711"/>
      <c r="F27" s="711"/>
      <c r="G27" s="711"/>
    </row>
    <row r="28" spans="2:12" x14ac:dyDescent="0.3">
      <c r="B28" s="711"/>
      <c r="C28" s="711"/>
      <c r="D28" s="711"/>
      <c r="E28" s="711"/>
      <c r="F28" s="711"/>
      <c r="G28" s="711"/>
    </row>
    <row r="29" spans="2:12" ht="29.4" customHeight="1" x14ac:dyDescent="0.3">
      <c r="B29" s="711"/>
      <c r="C29" s="713"/>
      <c r="D29" s="711"/>
      <c r="E29" s="711"/>
      <c r="F29" s="711"/>
      <c r="G29" s="711"/>
    </row>
  </sheetData>
  <mergeCells count="11">
    <mergeCell ref="H7:L7"/>
    <mergeCell ref="B2:L2"/>
    <mergeCell ref="B3:L3"/>
    <mergeCell ref="B4:L4"/>
    <mergeCell ref="B5:L5"/>
    <mergeCell ref="B7:B9"/>
    <mergeCell ref="C7:C9"/>
    <mergeCell ref="D7:D9"/>
    <mergeCell ref="E7:E9"/>
    <mergeCell ref="F7:F9"/>
    <mergeCell ref="G7:G9"/>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H29"/>
  <sheetViews>
    <sheetView workbookViewId="0">
      <selection activeCell="A3" sqref="A3:T3"/>
    </sheetView>
  </sheetViews>
  <sheetFormatPr defaultColWidth="8.90625" defaultRowHeight="12.5" x14ac:dyDescent="0.25"/>
  <cols>
    <col min="1" max="2" width="8.90625" style="714"/>
    <col min="3" max="3" width="36.36328125" style="714" customWidth="1"/>
    <col min="4" max="4" width="8.90625" style="714"/>
    <col min="5" max="7" width="12.08984375" style="714" customWidth="1"/>
    <col min="8" max="16384" width="8.90625" style="714"/>
  </cols>
  <sheetData>
    <row r="2" spans="1:8" ht="14" x14ac:dyDescent="0.3">
      <c r="A2" s="1"/>
      <c r="B2" s="1757" t="str">
        <f>Index!B2</f>
        <v xml:space="preserve">      Maharashtra State Power Generation Company Ltd.</v>
      </c>
      <c r="C2" s="1807"/>
      <c r="D2" s="1807"/>
      <c r="E2" s="1807"/>
      <c r="F2" s="1807"/>
      <c r="G2" s="1807"/>
      <c r="H2" s="1807"/>
    </row>
    <row r="3" spans="1:8" ht="14" x14ac:dyDescent="0.3">
      <c r="A3" s="1"/>
      <c r="B3" s="1757" t="s">
        <v>1020</v>
      </c>
      <c r="C3" s="1807"/>
      <c r="D3" s="1807"/>
      <c r="E3" s="1807"/>
      <c r="F3" s="1807"/>
      <c r="G3" s="1807"/>
      <c r="H3" s="1807"/>
    </row>
    <row r="4" spans="1:8" ht="14" x14ac:dyDescent="0.25">
      <c r="A4" s="13"/>
      <c r="B4" s="1757" t="str">
        <f>Index!B3</f>
        <v>MYT Petition Formats for SHP Hydro</v>
      </c>
      <c r="C4" s="1807"/>
      <c r="D4" s="1807"/>
      <c r="E4" s="1807"/>
      <c r="F4" s="1807"/>
      <c r="G4" s="1807"/>
      <c r="H4" s="1807"/>
    </row>
    <row r="5" spans="1:8" ht="14" x14ac:dyDescent="0.3">
      <c r="A5" s="13"/>
      <c r="B5" s="13"/>
      <c r="C5" s="8"/>
      <c r="D5" s="715"/>
      <c r="E5" s="715"/>
      <c r="F5" s="715"/>
      <c r="G5" s="15"/>
      <c r="H5" s="13"/>
    </row>
    <row r="6" spans="1:8" ht="14" x14ac:dyDescent="0.3">
      <c r="A6" s="1"/>
      <c r="B6" s="654" t="s">
        <v>343</v>
      </c>
      <c r="C6" s="656" t="s">
        <v>37</v>
      </c>
      <c r="D6" s="656" t="s">
        <v>93</v>
      </c>
      <c r="E6" s="654" t="s">
        <v>519</v>
      </c>
      <c r="F6" s="654" t="s">
        <v>520</v>
      </c>
      <c r="G6" s="654" t="s">
        <v>521</v>
      </c>
      <c r="H6" s="654" t="s">
        <v>27</v>
      </c>
    </row>
    <row r="7" spans="1:8" ht="14" x14ac:dyDescent="0.25">
      <c r="A7" s="132"/>
      <c r="B7" s="38"/>
      <c r="C7" s="147"/>
      <c r="D7" s="149"/>
      <c r="E7" s="149"/>
      <c r="F7" s="149"/>
      <c r="G7" s="36"/>
      <c r="H7" s="36"/>
    </row>
    <row r="8" spans="1:8" ht="14" x14ac:dyDescent="0.25">
      <c r="A8" s="132"/>
      <c r="B8" s="149">
        <v>1</v>
      </c>
      <c r="C8" s="150" t="s">
        <v>1021</v>
      </c>
      <c r="D8" s="149" t="s">
        <v>96</v>
      </c>
      <c r="E8" s="149"/>
      <c r="F8" s="149"/>
      <c r="G8" s="716"/>
      <c r="H8" s="36"/>
    </row>
    <row r="9" spans="1:8" ht="14" x14ac:dyDescent="0.3">
      <c r="B9" s="717">
        <f>B8+1</f>
        <v>2</v>
      </c>
      <c r="C9" s="150" t="s">
        <v>1022</v>
      </c>
      <c r="D9" s="717" t="s">
        <v>98</v>
      </c>
      <c r="E9" s="718"/>
      <c r="F9" s="718"/>
      <c r="G9" s="718"/>
      <c r="H9" s="718"/>
    </row>
    <row r="10" spans="1:8" ht="14" x14ac:dyDescent="0.3">
      <c r="B10" s="717">
        <f t="shared" ref="B10:B20" si="0">B9+1</f>
        <v>3</v>
      </c>
      <c r="C10" s="150" t="s">
        <v>1023</v>
      </c>
      <c r="D10" s="717" t="s">
        <v>98</v>
      </c>
      <c r="E10" s="718"/>
      <c r="F10" s="718"/>
      <c r="G10" s="718"/>
      <c r="H10" s="718"/>
    </row>
    <row r="11" spans="1:8" ht="14" x14ac:dyDescent="0.3">
      <c r="B11" s="717">
        <f t="shared" si="0"/>
        <v>4</v>
      </c>
      <c r="C11" s="150" t="s">
        <v>1024</v>
      </c>
      <c r="D11" s="717" t="s">
        <v>98</v>
      </c>
      <c r="E11" s="718"/>
      <c r="F11" s="718"/>
      <c r="G11" s="718"/>
      <c r="H11" s="718"/>
    </row>
    <row r="12" spans="1:8" ht="14" x14ac:dyDescent="0.3">
      <c r="B12" s="717">
        <f t="shared" si="0"/>
        <v>5</v>
      </c>
      <c r="C12" s="150" t="s">
        <v>1025</v>
      </c>
      <c r="D12" s="719" t="s">
        <v>100</v>
      </c>
      <c r="E12" s="718"/>
      <c r="F12" s="718"/>
      <c r="G12" s="718"/>
      <c r="H12" s="718"/>
    </row>
    <row r="13" spans="1:8" ht="28" x14ac:dyDescent="0.3">
      <c r="B13" s="717">
        <f t="shared" si="0"/>
        <v>6</v>
      </c>
      <c r="C13" s="150" t="s">
        <v>1026</v>
      </c>
      <c r="D13" s="719" t="s">
        <v>100</v>
      </c>
      <c r="E13" s="718"/>
      <c r="F13" s="718"/>
      <c r="G13" s="718"/>
      <c r="H13" s="718"/>
    </row>
    <row r="14" spans="1:8" ht="14" x14ac:dyDescent="0.3">
      <c r="B14" s="717">
        <f t="shared" si="0"/>
        <v>7</v>
      </c>
      <c r="C14" s="150" t="s">
        <v>1027</v>
      </c>
      <c r="D14" s="719" t="s">
        <v>100</v>
      </c>
      <c r="E14" s="718"/>
      <c r="F14" s="718"/>
      <c r="G14" s="718"/>
      <c r="H14" s="718"/>
    </row>
    <row r="15" spans="1:8" ht="14" x14ac:dyDescent="0.3">
      <c r="B15" s="717">
        <f t="shared" si="0"/>
        <v>8</v>
      </c>
      <c r="C15" s="150" t="s">
        <v>1028</v>
      </c>
      <c r="D15" s="719" t="s">
        <v>100</v>
      </c>
      <c r="E15" s="718"/>
      <c r="F15" s="718"/>
      <c r="G15" s="718"/>
      <c r="H15" s="718"/>
    </row>
    <row r="16" spans="1:8" ht="14" x14ac:dyDescent="0.3">
      <c r="B16" s="717">
        <f t="shared" si="0"/>
        <v>9</v>
      </c>
      <c r="C16" s="150" t="s">
        <v>1029</v>
      </c>
      <c r="D16" s="719" t="s">
        <v>100</v>
      </c>
      <c r="E16" s="718"/>
      <c r="F16" s="718"/>
      <c r="G16" s="718"/>
      <c r="H16" s="718"/>
    </row>
    <row r="17" spans="2:8" ht="14" x14ac:dyDescent="0.3">
      <c r="B17" s="717">
        <f t="shared" si="0"/>
        <v>10</v>
      </c>
      <c r="C17" s="150" t="s">
        <v>1030</v>
      </c>
      <c r="D17" s="719" t="s">
        <v>100</v>
      </c>
      <c r="E17" s="718"/>
      <c r="F17" s="718"/>
      <c r="G17" s="718"/>
      <c r="H17" s="718"/>
    </row>
    <row r="18" spans="2:8" ht="14" x14ac:dyDescent="0.3">
      <c r="B18" s="717">
        <f t="shared" si="0"/>
        <v>11</v>
      </c>
      <c r="C18" s="150" t="s">
        <v>1031</v>
      </c>
      <c r="D18" s="719" t="s">
        <v>1032</v>
      </c>
      <c r="E18" s="718"/>
      <c r="F18" s="718"/>
      <c r="G18" s="718"/>
      <c r="H18" s="718"/>
    </row>
    <row r="19" spans="2:8" ht="14" x14ac:dyDescent="0.3">
      <c r="B19" s="717">
        <f t="shared" si="0"/>
        <v>12</v>
      </c>
      <c r="C19" s="150" t="s">
        <v>1033</v>
      </c>
      <c r="D19" s="719" t="s">
        <v>1032</v>
      </c>
      <c r="E19" s="718"/>
      <c r="F19" s="718"/>
      <c r="G19" s="718"/>
      <c r="H19" s="718"/>
    </row>
    <row r="20" spans="2:8" s="723" customFormat="1" ht="14" x14ac:dyDescent="0.3">
      <c r="B20" s="720">
        <f t="shared" si="0"/>
        <v>13</v>
      </c>
      <c r="C20" s="721" t="s">
        <v>1034</v>
      </c>
      <c r="D20" s="720" t="s">
        <v>136</v>
      </c>
      <c r="E20" s="722"/>
      <c r="F20" s="722"/>
      <c r="G20" s="722"/>
      <c r="H20" s="722"/>
    </row>
    <row r="29" spans="2:8" ht="29.4" customHeight="1" x14ac:dyDescent="0.25">
      <c r="C29" s="724"/>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35</vt:i4>
      </vt:variant>
    </vt:vector>
  </HeadingPairs>
  <TitlesOfParts>
    <vt:vector size="85" baseType="lpstr">
      <vt:lpstr>Index</vt:lpstr>
      <vt:lpstr>F1</vt:lpstr>
      <vt:lpstr>F1.1</vt:lpstr>
      <vt:lpstr>F2.1</vt:lpstr>
      <vt:lpstr>F2.2</vt:lpstr>
      <vt:lpstr>F2.3</vt:lpstr>
      <vt:lpstr>F2.4</vt:lpstr>
      <vt:lpstr>F2.5</vt:lpstr>
      <vt:lpstr>F2.6</vt:lpstr>
      <vt:lpstr>F2.7</vt:lpstr>
      <vt:lpstr>F3</vt:lpstr>
      <vt:lpstr>F3.1</vt:lpstr>
      <vt:lpstr>F3.2</vt:lpstr>
      <vt:lpstr>F3.3</vt:lpstr>
      <vt:lpstr>F3.4</vt:lpstr>
      <vt:lpstr>F4</vt:lpstr>
      <vt:lpstr>F4.1 SHPC Pune</vt:lpstr>
      <vt:lpstr>F4.2 SHPC Pune</vt:lpstr>
      <vt:lpstr>F4.3 SHPC Pune</vt:lpstr>
      <vt:lpstr>F4.1 SHPC Nashik</vt:lpstr>
      <vt:lpstr>F4.2 SHPC Nashik</vt:lpstr>
      <vt:lpstr>F4.3 SHPC Nashik </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'F13'!Print_Area</vt:lpstr>
      <vt:lpstr>'F17'!Print_Area</vt:lpstr>
      <vt:lpstr>F2.1!Print_Area</vt:lpstr>
      <vt:lpstr>F2.3!Print_Area</vt:lpstr>
      <vt:lpstr>F2.4!Print_Area</vt:lpstr>
      <vt:lpstr>F2.5!Print_Area</vt:lpstr>
      <vt:lpstr>F2.7!Print_Area</vt:lpstr>
      <vt:lpstr>'F3'!Print_Area</vt:lpstr>
      <vt:lpstr>F3.1!Print_Area</vt:lpstr>
      <vt:lpstr>F3.2!Print_Area</vt:lpstr>
      <vt:lpstr>F3.3!Print_Area</vt:lpstr>
      <vt:lpstr>F3.4!Print_Area</vt:lpstr>
      <vt:lpstr>'F4.1 SHPC Nashik'!Print_Area</vt:lpstr>
      <vt:lpstr>'F4.1 SHPC Pune'!Print_Area</vt:lpstr>
      <vt:lpstr>'F4.2 SHPC Nashik'!Print_Area</vt:lpstr>
      <vt:lpstr>'F4.2 SHPC Pune'!Print_Area</vt:lpstr>
      <vt:lpstr>'F4.3 SHPC Nashik '!Print_Area</vt:lpstr>
      <vt:lpstr>'F4.3 SHPC Pune'!Print_Area</vt:lpstr>
      <vt:lpstr>'F5'!Print_Area</vt:lpstr>
      <vt:lpstr>'F5.1 (N)'!Print_Area</vt:lpstr>
      <vt:lpstr>'F7'!Print_Area</vt:lpstr>
      <vt:lpstr>'F8'!Print_Area</vt:lpstr>
      <vt:lpstr>F9.2!Print_Area</vt:lpstr>
      <vt:lpstr>F9.3!Print_Area</vt:lpstr>
      <vt:lpstr>Index!Print_Area</vt:lpstr>
      <vt:lpstr>F2.2!Print_Titles</vt:lpstr>
      <vt:lpstr>'F4.1 SHPC Nashik'!Print_Titles</vt:lpstr>
      <vt:lpstr>'F4.1 SHPC Pune'!Print_Titles</vt:lpstr>
      <vt:lpstr>'F4.2 SHPC Nashik'!Print_Titles</vt:lpstr>
      <vt:lpstr>'F4.2 SHPC Pune'!Print_Titles</vt:lpstr>
      <vt:lpstr>'F4.3 SHPC Nashik '!Print_Titles</vt:lpstr>
      <vt:lpstr>'F4.3 SHPC Pune'!Print_Titles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2022-07-20T06:56:10Z</cp:lastPrinted>
  <dcterms:created xsi:type="dcterms:W3CDTF">2004-07-28T05:30:50Z</dcterms:created>
  <dcterms:modified xsi:type="dcterms:W3CDTF">2024-12-06T05:42:32Z</dcterms:modified>
</cp:coreProperties>
</file>